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https://d.docs.live.net/1689cbfe4b188a7d/Desktop/"/>
    </mc:Choice>
  </mc:AlternateContent>
  <xr:revisionPtr revIDLastSave="153" documentId="8_{4260C6C2-5FBD-4017-91BA-4AF1C61AD7FE}" xr6:coauthVersionLast="47" xr6:coauthVersionMax="47" xr10:uidLastSave="{CB69F12C-E601-4304-9721-1023C692BEC3}"/>
  <bookViews>
    <workbookView xWindow="-38510" yWindow="-110" windowWidth="38620" windowHeight="21100" tabRatio="405" firstSheet="1" activeTab="3" xr2:uid="{00000000-000D-0000-FFFF-FFFF00000000}"/>
  </bookViews>
  <sheets>
    <sheet name="Accts - old data" sheetId="1" r:id="rId1"/>
    <sheet name="Calc" sheetId="2" r:id="rId2"/>
    <sheet name="Aggressive Portfolio Evals" sheetId="3" r:id="rId3"/>
    <sheet name="Conservative Portfolio Evals" sheetId="4" r:id="rId4"/>
    <sheet name="Downloads" sheetId="5" r:id="rId5"/>
    <sheet name="Deleted positions" sheetId="6"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Q17" i="4" l="1"/>
  <c r="AQ8" i="4"/>
  <c r="S47" i="4" s="1"/>
  <c r="AQ37" i="4"/>
  <c r="AN17" i="4"/>
  <c r="AQ15" i="4"/>
  <c r="R39" i="4"/>
  <c r="AG10" i="4" a="1"/>
  <c r="AG10" i="4" s="1"/>
  <c r="AH10" i="4" a="1"/>
  <c r="AH10" i="4" s="1"/>
  <c r="AI10" i="4" a="1"/>
  <c r="AI10" i="4" s="1"/>
  <c r="AG11" i="4" a="1"/>
  <c r="AG11" i="4" s="1"/>
  <c r="AH11" i="4" a="1"/>
  <c r="AH11" i="4" s="1"/>
  <c r="AI11" i="4" a="1"/>
  <c r="AI11" i="4" s="1"/>
  <c r="AG12" i="4" a="1"/>
  <c r="AG12" i="4" s="1"/>
  <c r="AH12" i="4" a="1"/>
  <c r="AH12" i="4" s="1"/>
  <c r="AI12" i="4" a="1"/>
  <c r="AI12" i="4" s="1"/>
  <c r="AG13" i="4" a="1"/>
  <c r="AG13" i="4" s="1"/>
  <c r="AJ13" i="4" s="1"/>
  <c r="AH13" i="4" a="1"/>
  <c r="AH13" i="4" s="1"/>
  <c r="AI13" i="4" a="1"/>
  <c r="AI13" i="4" s="1"/>
  <c r="AG14" i="4" a="1"/>
  <c r="AG14" i="4" s="1"/>
  <c r="AH14" i="4" a="1"/>
  <c r="AH14" i="4" s="1"/>
  <c r="AI14" i="4" a="1"/>
  <c r="AI14" i="4" s="1"/>
  <c r="AG15" i="4" a="1"/>
  <c r="AG15" i="4" s="1"/>
  <c r="AH15" i="4" a="1"/>
  <c r="AH15" i="4" s="1"/>
  <c r="AI15" i="4" a="1"/>
  <c r="AI15" i="4" s="1"/>
  <c r="AG16" i="4" a="1"/>
  <c r="AG16" i="4" s="1"/>
  <c r="AH16" i="4" a="1"/>
  <c r="AH16" i="4" s="1"/>
  <c r="AI16" i="4" a="1"/>
  <c r="AI16" i="4" s="1"/>
  <c r="AG17" i="4" a="1"/>
  <c r="AG17" i="4" s="1"/>
  <c r="AH17" i="4" a="1"/>
  <c r="AH17" i="4" s="1"/>
  <c r="AI17" i="4" a="1"/>
  <c r="AI17" i="4" s="1"/>
  <c r="AG18" i="4" a="1"/>
  <c r="AG18" i="4" s="1"/>
  <c r="AH18" i="4" a="1"/>
  <c r="AH18" i="4" s="1"/>
  <c r="AI18" i="4" a="1"/>
  <c r="AI18" i="4" s="1"/>
  <c r="AG19" i="4" a="1"/>
  <c r="AG19" i="4" s="1"/>
  <c r="AH19" i="4" a="1"/>
  <c r="AH19" i="4" s="1"/>
  <c r="AI19" i="4" a="1"/>
  <c r="AI19" i="4" s="1"/>
  <c r="AG20" i="4" a="1"/>
  <c r="AG20" i="4" s="1"/>
  <c r="AH20" i="4" a="1"/>
  <c r="AH20" i="4" s="1"/>
  <c r="AI20" i="4" a="1"/>
  <c r="AI20" i="4" s="1"/>
  <c r="AG21" i="4" a="1"/>
  <c r="AG21" i="4" s="1"/>
  <c r="AH21" i="4" a="1"/>
  <c r="AH21" i="4" s="1"/>
  <c r="AI21" i="4" a="1"/>
  <c r="AI21" i="4" s="1"/>
  <c r="AG22" i="4" a="1"/>
  <c r="AG22" i="4" s="1"/>
  <c r="AH22" i="4" a="1"/>
  <c r="AH22" i="4" s="1"/>
  <c r="AI22" i="4" a="1"/>
  <c r="AI22" i="4" s="1"/>
  <c r="AG23" i="4" a="1"/>
  <c r="AG23" i="4" s="1"/>
  <c r="AH23" i="4" a="1"/>
  <c r="AH23" i="4" s="1"/>
  <c r="AI23" i="4" a="1"/>
  <c r="AI23" i="4" s="1"/>
  <c r="AG24" i="4" a="1"/>
  <c r="AG24" i="4" s="1"/>
  <c r="AH24" i="4" a="1"/>
  <c r="AH24" i="4" s="1"/>
  <c r="AI24" i="4" a="1"/>
  <c r="AI24" i="4" s="1"/>
  <c r="AG25" i="4" a="1"/>
  <c r="AG25" i="4" s="1"/>
  <c r="AH25" i="4" a="1"/>
  <c r="AH25" i="4" s="1"/>
  <c r="AI25" i="4" a="1"/>
  <c r="AI25" i="4" s="1"/>
  <c r="AG26" i="4" a="1"/>
  <c r="AG26" i="4" s="1"/>
  <c r="AH26" i="4" a="1"/>
  <c r="AH26" i="4" s="1"/>
  <c r="AI26" i="4" a="1"/>
  <c r="AI26" i="4" s="1"/>
  <c r="AG27" i="4" a="1"/>
  <c r="AG27" i="4" s="1"/>
  <c r="AH27" i="4" a="1"/>
  <c r="AH27" i="4" s="1"/>
  <c r="AI27" i="4" a="1"/>
  <c r="AI27" i="4" s="1"/>
  <c r="AG28" i="4" a="1"/>
  <c r="AG28" i="4" s="1"/>
  <c r="AH28" i="4" a="1"/>
  <c r="AH28" i="4" s="1"/>
  <c r="AI28" i="4" a="1"/>
  <c r="AI28" i="4" s="1"/>
  <c r="AG29" i="4" a="1"/>
  <c r="AG29" i="4" s="1"/>
  <c r="AH29" i="4" a="1"/>
  <c r="AH29" i="4" s="1"/>
  <c r="AI29" i="4" a="1"/>
  <c r="AI29" i="4" s="1"/>
  <c r="AG30" i="4" a="1"/>
  <c r="AG30" i="4" s="1"/>
  <c r="AH30" i="4" a="1"/>
  <c r="AH30" i="4" s="1"/>
  <c r="AI30" i="4" a="1"/>
  <c r="AI30" i="4" s="1"/>
  <c r="AG31" i="4" a="1"/>
  <c r="AG31" i="4" s="1"/>
  <c r="AJ31" i="4" s="1"/>
  <c r="AH31" i="4" a="1"/>
  <c r="AH31" i="4" s="1"/>
  <c r="AI31" i="4" a="1"/>
  <c r="AI31" i="4" s="1"/>
  <c r="AG32" i="4" a="1"/>
  <c r="AG32" i="4" s="1"/>
  <c r="AH32" i="4" a="1"/>
  <c r="AH32" i="4" s="1"/>
  <c r="AI32" i="4" a="1"/>
  <c r="AI32" i="4" s="1"/>
  <c r="AG33" i="4" a="1"/>
  <c r="AG33" i="4" s="1"/>
  <c r="AH33" i="4" a="1"/>
  <c r="AH33" i="4" s="1"/>
  <c r="AI33" i="4" a="1"/>
  <c r="AI33" i="4" s="1"/>
  <c r="AG34" i="4" a="1"/>
  <c r="AG34" i="4" s="1"/>
  <c r="AH34" i="4" a="1"/>
  <c r="AH34" i="4" s="1"/>
  <c r="AI34" i="4" a="1"/>
  <c r="AI34" i="4" s="1"/>
  <c r="AI9" i="4" a="1"/>
  <c r="AI9" i="4" s="1"/>
  <c r="AH9" i="4" a="1"/>
  <c r="AH9" i="4" s="1"/>
  <c r="AG9" i="4" a="1"/>
  <c r="AG9" i="4" s="1"/>
  <c r="AG40" i="4"/>
  <c r="AJ36" i="4"/>
  <c r="AK36" i="4" s="1"/>
  <c r="AE9" i="3" a="1"/>
  <c r="AE9" i="3" s="1"/>
  <c r="AF9" i="3" a="1"/>
  <c r="AF9" i="3" s="1"/>
  <c r="AE10" i="3" a="1"/>
  <c r="AE10" i="3" s="1"/>
  <c r="AF10" i="3" a="1"/>
  <c r="AF10" i="3" s="1"/>
  <c r="AE11" i="3" a="1"/>
  <c r="AE11" i="3" s="1"/>
  <c r="AF11" i="3" a="1"/>
  <c r="AF11" i="3" s="1"/>
  <c r="AE12" i="3" a="1"/>
  <c r="AE12" i="3" s="1"/>
  <c r="AF12" i="3" a="1"/>
  <c r="AF12" i="3" s="1"/>
  <c r="AE13" i="3" a="1"/>
  <c r="AE13" i="3" s="1"/>
  <c r="AF13" i="3" a="1"/>
  <c r="AF13" i="3" s="1"/>
  <c r="AE14" i="3" a="1"/>
  <c r="AE14" i="3" s="1"/>
  <c r="AF14" i="3" a="1"/>
  <c r="AF14" i="3" s="1"/>
  <c r="AE15" i="3" a="1"/>
  <c r="AE15" i="3" s="1"/>
  <c r="AF15" i="3" a="1"/>
  <c r="AF15" i="3" s="1"/>
  <c r="AE16" i="3" a="1"/>
  <c r="AE16" i="3" s="1"/>
  <c r="AF16" i="3" a="1"/>
  <c r="AF16" i="3" s="1"/>
  <c r="AE17" i="3" a="1"/>
  <c r="AE17" i="3" s="1"/>
  <c r="AF17" i="3" a="1"/>
  <c r="AF17" i="3" s="1"/>
  <c r="AE18" i="3" a="1"/>
  <c r="AE18" i="3" s="1"/>
  <c r="AF18" i="3" a="1"/>
  <c r="AF18" i="3" s="1"/>
  <c r="AE19" i="3" a="1"/>
  <c r="AE19" i="3" s="1"/>
  <c r="AF19" i="3" a="1"/>
  <c r="AF19" i="3" s="1"/>
  <c r="AE20" i="3" a="1"/>
  <c r="AE20" i="3" s="1"/>
  <c r="AF20" i="3" a="1"/>
  <c r="AF20" i="3" s="1"/>
  <c r="AE21" i="3" a="1"/>
  <c r="AE21" i="3" s="1"/>
  <c r="AF21" i="3" a="1"/>
  <c r="AF21" i="3" s="1"/>
  <c r="AE22" i="3" a="1"/>
  <c r="AE22" i="3" s="1"/>
  <c r="AF22" i="3" a="1"/>
  <c r="AF22" i="3" s="1"/>
  <c r="AE23" i="3" a="1"/>
  <c r="AE23" i="3" s="1"/>
  <c r="AF23" i="3" a="1"/>
  <c r="AF23" i="3" s="1"/>
  <c r="AE24" i="3" a="1"/>
  <c r="AE24" i="3" s="1"/>
  <c r="AF24" i="3" a="1"/>
  <c r="AF24" i="3" s="1"/>
  <c r="AE25" i="3" a="1"/>
  <c r="AE25" i="3" s="1"/>
  <c r="AF25" i="3" a="1"/>
  <c r="AF25" i="3" s="1"/>
  <c r="AE26" i="3" a="1"/>
  <c r="AE26" i="3" s="1"/>
  <c r="AF26" i="3" a="1"/>
  <c r="AF26" i="3" s="1"/>
  <c r="AE27" i="3" a="1"/>
  <c r="AE27" i="3" s="1"/>
  <c r="AF27" i="3" a="1"/>
  <c r="AF27" i="3" s="1"/>
  <c r="AE28" i="3" a="1"/>
  <c r="AE28" i="3" s="1"/>
  <c r="AF28" i="3" a="1"/>
  <c r="AF28" i="3" s="1"/>
  <c r="AE29" i="3" a="1"/>
  <c r="AE29" i="3" s="1"/>
  <c r="AF29" i="3" a="1"/>
  <c r="AF29" i="3" s="1"/>
  <c r="AE30" i="3" a="1"/>
  <c r="AE30" i="3" s="1"/>
  <c r="AF30" i="3" a="1"/>
  <c r="AF30" i="3" s="1"/>
  <c r="AE31" i="3" a="1"/>
  <c r="AE31" i="3" s="1"/>
  <c r="AF31" i="3" a="1"/>
  <c r="AF31" i="3" s="1"/>
  <c r="AE32" i="3" a="1"/>
  <c r="AE32" i="3" s="1"/>
  <c r="AF32" i="3" a="1"/>
  <c r="AF32" i="3" s="1"/>
  <c r="AE33" i="3" a="1"/>
  <c r="AE33" i="3" s="1"/>
  <c r="AF33" i="3" a="1"/>
  <c r="AF33" i="3" s="1"/>
  <c r="AE34" i="3" a="1"/>
  <c r="AE34" i="3" s="1"/>
  <c r="AF34" i="3" a="1"/>
  <c r="AF34" i="3" s="1"/>
  <c r="AE35" i="3" a="1"/>
  <c r="AE35" i="3" s="1"/>
  <c r="AF35" i="3" a="1"/>
  <c r="AF35" i="3" s="1"/>
  <c r="AE36" i="3" a="1"/>
  <c r="AE36" i="3" s="1"/>
  <c r="AF36" i="3" a="1"/>
  <c r="AF36" i="3" s="1"/>
  <c r="AE37" i="3" a="1"/>
  <c r="AE37" i="3" s="1"/>
  <c r="AF37" i="3" a="1"/>
  <c r="AF37" i="3" s="1"/>
  <c r="AE38" i="3" a="1"/>
  <c r="AE38" i="3" s="1"/>
  <c r="AF38" i="3" a="1"/>
  <c r="AF38" i="3" s="1"/>
  <c r="AE39" i="3" a="1"/>
  <c r="AE39" i="3" s="1"/>
  <c r="AF39" i="3" a="1"/>
  <c r="AF39" i="3" s="1"/>
  <c r="AE40" i="3" a="1"/>
  <c r="AE40" i="3" s="1"/>
  <c r="AF40" i="3" a="1"/>
  <c r="AF40" i="3" s="1"/>
  <c r="AE41" i="3" a="1"/>
  <c r="AE41" i="3" s="1"/>
  <c r="AF41" i="3" a="1"/>
  <c r="AF41" i="3" s="1"/>
  <c r="Z8" i="6"/>
  <c r="Y8" i="6"/>
  <c r="X8" i="6"/>
  <c r="Z7" i="6"/>
  <c r="Y7" i="6"/>
  <c r="X7" i="6"/>
  <c r="Z6" i="6"/>
  <c r="Y6" i="6"/>
  <c r="X6" i="6"/>
  <c r="Z5" i="6"/>
  <c r="Y5" i="6"/>
  <c r="X5" i="6"/>
  <c r="AD38" i="3" a="1"/>
  <c r="AD38" i="3" s="1"/>
  <c r="AD39" i="3" a="1"/>
  <c r="AD39" i="3" s="1"/>
  <c r="Q38" i="3"/>
  <c r="P38" i="3"/>
  <c r="O38" i="3"/>
  <c r="Z4" i="6"/>
  <c r="Y4" i="6"/>
  <c r="X4" i="6"/>
  <c r="AF3" i="6"/>
  <c r="Z3" i="6"/>
  <c r="Y3" i="6"/>
  <c r="X3" i="6"/>
  <c r="AE116" i="1"/>
  <c r="S87" i="2"/>
  <c r="S86" i="2"/>
  <c r="S79" i="2"/>
  <c r="S80" i="2" s="1"/>
  <c r="S82" i="2" s="1"/>
  <c r="S75" i="2"/>
  <c r="S71" i="2"/>
  <c r="S85" i="2" s="1"/>
  <c r="S67" i="2"/>
  <c r="S68" i="2" s="1"/>
  <c r="S58" i="2"/>
  <c r="S59" i="2" s="1"/>
  <c r="S61" i="2" s="1"/>
  <c r="S54" i="2"/>
  <c r="S62" i="2" s="1"/>
  <c r="S50" i="2"/>
  <c r="S66" i="2" s="1"/>
  <c r="S10" i="2"/>
  <c r="L31" i="2"/>
  <c r="O27" i="2"/>
  <c r="L27" i="2"/>
  <c r="I27" i="2"/>
  <c r="F27" i="2"/>
  <c r="C42" i="2"/>
  <c r="C36" i="2"/>
  <c r="C38" i="2" s="1"/>
  <c r="C27" i="2"/>
  <c r="C41" i="2" s="1"/>
  <c r="S27" i="2"/>
  <c r="C23" i="2"/>
  <c r="C24" i="2" s="1"/>
  <c r="C15" i="2"/>
  <c r="C17" i="2" s="1"/>
  <c r="C18" i="2"/>
  <c r="C6" i="2"/>
  <c r="C22" i="2" s="1"/>
  <c r="F42" i="2"/>
  <c r="F36" i="2"/>
  <c r="F38" i="2" s="1"/>
  <c r="F41" i="2"/>
  <c r="F23" i="2"/>
  <c r="F24" i="2" s="1"/>
  <c r="F15" i="2"/>
  <c r="F17" i="2" s="1"/>
  <c r="F18" i="2"/>
  <c r="F6" i="2"/>
  <c r="F22" i="2" s="1"/>
  <c r="I43" i="2"/>
  <c r="I42" i="2"/>
  <c r="I36" i="2"/>
  <c r="I38" i="2" s="1"/>
  <c r="I31" i="2"/>
  <c r="I41" i="2"/>
  <c r="I23" i="2"/>
  <c r="I24" i="2" s="1"/>
  <c r="I15" i="2"/>
  <c r="I17" i="2" s="1"/>
  <c r="I18" i="2"/>
  <c r="I6" i="2"/>
  <c r="I22" i="2" s="1"/>
  <c r="L43" i="2"/>
  <c r="L42" i="2"/>
  <c r="L36" i="2"/>
  <c r="L38" i="2" s="1"/>
  <c r="L41" i="2"/>
  <c r="L23" i="2"/>
  <c r="L24" i="2" s="1"/>
  <c r="L15" i="2"/>
  <c r="L17" i="2" s="1"/>
  <c r="L18" i="2"/>
  <c r="L6" i="2"/>
  <c r="L22" i="2" s="1"/>
  <c r="O42" i="2"/>
  <c r="O36" i="2"/>
  <c r="O38" i="2" s="1"/>
  <c r="O31" i="2"/>
  <c r="O41" i="2"/>
  <c r="O23" i="2"/>
  <c r="O24" i="2" s="1"/>
  <c r="O14" i="2"/>
  <c r="O15" i="2" s="1"/>
  <c r="O17" i="2" s="1"/>
  <c r="O10" i="2"/>
  <c r="O18" i="2" s="1"/>
  <c r="O6" i="2"/>
  <c r="O22" i="2" s="1"/>
  <c r="O87" i="2"/>
  <c r="O86" i="2"/>
  <c r="O79" i="2"/>
  <c r="O80" i="2" s="1"/>
  <c r="O82" i="2" s="1"/>
  <c r="O75" i="2"/>
  <c r="O71" i="2"/>
  <c r="O85" i="2" s="1"/>
  <c r="O67" i="2"/>
  <c r="O68" i="2" s="1"/>
  <c r="O58" i="2"/>
  <c r="O59" i="2" s="1"/>
  <c r="O61" i="2" s="1"/>
  <c r="O54" i="2"/>
  <c r="O62" i="2" s="1"/>
  <c r="O50" i="2"/>
  <c r="O66" i="2" s="1"/>
  <c r="L87" i="2"/>
  <c r="L86" i="2"/>
  <c r="L79" i="2"/>
  <c r="L80" i="2" s="1"/>
  <c r="L82" i="2" s="1"/>
  <c r="L75" i="2"/>
  <c r="L71" i="2"/>
  <c r="L85" i="2" s="1"/>
  <c r="L67" i="2"/>
  <c r="L68" i="2" s="1"/>
  <c r="L58" i="2"/>
  <c r="L59" i="2" s="1"/>
  <c r="L61" i="2" s="1"/>
  <c r="L63" i="2" s="1"/>
  <c r="L54" i="2"/>
  <c r="L62" i="2" s="1"/>
  <c r="L50" i="2"/>
  <c r="L66" i="2" s="1"/>
  <c r="I87" i="2"/>
  <c r="I86" i="2"/>
  <c r="I79" i="2"/>
  <c r="I80" i="2" s="1"/>
  <c r="I82" i="2" s="1"/>
  <c r="I75" i="2"/>
  <c r="I71" i="2"/>
  <c r="I85" i="2" s="1"/>
  <c r="I67" i="2"/>
  <c r="I68" i="2" s="1"/>
  <c r="I58" i="2"/>
  <c r="I59" i="2" s="1"/>
  <c r="I61" i="2" s="1"/>
  <c r="I63" i="2" s="1"/>
  <c r="I54" i="2"/>
  <c r="I62" i="2" s="1"/>
  <c r="I50" i="2"/>
  <c r="I66" i="2" s="1"/>
  <c r="F87" i="2"/>
  <c r="F86" i="2"/>
  <c r="F79" i="2"/>
  <c r="F80" i="2" s="1"/>
  <c r="F82" i="2" s="1"/>
  <c r="F75" i="2"/>
  <c r="F71" i="2"/>
  <c r="F85" i="2" s="1"/>
  <c r="F67" i="2"/>
  <c r="F68" i="2" s="1"/>
  <c r="F58" i="2"/>
  <c r="F59" i="2" s="1"/>
  <c r="F61" i="2" s="1"/>
  <c r="F54" i="2"/>
  <c r="F62" i="2" s="1"/>
  <c r="F50" i="2"/>
  <c r="F66" i="2" s="1"/>
  <c r="C86" i="2"/>
  <c r="C80" i="2"/>
  <c r="C82" i="2" s="1"/>
  <c r="C75" i="2"/>
  <c r="C71" i="2"/>
  <c r="C85" i="2" s="1"/>
  <c r="C67" i="2"/>
  <c r="C68" i="2" s="1"/>
  <c r="C58" i="2"/>
  <c r="C59" i="2" s="1"/>
  <c r="C61" i="2" s="1"/>
  <c r="C63" i="2" s="1"/>
  <c r="C54" i="2"/>
  <c r="C62" i="2" s="1"/>
  <c r="C50" i="2"/>
  <c r="C66" i="2" s="1"/>
  <c r="U45" i="4" l="1"/>
  <c r="S53" i="4"/>
  <c r="AK13" i="4"/>
  <c r="AK31" i="4"/>
  <c r="AN14" i="4"/>
  <c r="AQ14" i="4" s="1"/>
  <c r="AN15" i="4"/>
  <c r="AM4" i="6"/>
  <c r="AN4" i="6" s="1"/>
  <c r="AG38" i="3"/>
  <c r="S63" i="2"/>
  <c r="C87" i="2"/>
  <c r="O43" i="2"/>
  <c r="L19" i="2"/>
  <c r="I19" i="2"/>
  <c r="C19" i="2"/>
  <c r="F19" i="2"/>
  <c r="O19" i="2"/>
  <c r="O63" i="2"/>
  <c r="F63" i="2"/>
  <c r="X23" i="3" l="1"/>
  <c r="X24" i="3"/>
  <c r="AD10" i="3" a="1"/>
  <c r="AD10" i="3" s="1"/>
  <c r="AD11" i="3" a="1"/>
  <c r="AD11" i="3" s="1"/>
  <c r="AD12" i="3" a="1"/>
  <c r="AD12" i="3" s="1"/>
  <c r="AD13" i="3" a="1"/>
  <c r="AD13" i="3" s="1"/>
  <c r="AD14" i="3" a="1"/>
  <c r="AD14" i="3" s="1"/>
  <c r="AD15" i="3" a="1"/>
  <c r="AD15" i="3" s="1"/>
  <c r="AD16" i="3" a="1"/>
  <c r="AD16" i="3" s="1"/>
  <c r="AD17" i="3" a="1"/>
  <c r="AD17" i="3" s="1"/>
  <c r="AD18" i="3" a="1"/>
  <c r="AD18" i="3" s="1"/>
  <c r="AD19" i="3" a="1"/>
  <c r="AD19" i="3" s="1"/>
  <c r="AD20" i="3" a="1"/>
  <c r="AD20" i="3" s="1"/>
  <c r="AD21" i="3" a="1"/>
  <c r="AD21" i="3" s="1"/>
  <c r="AD22" i="3" a="1"/>
  <c r="AD22" i="3" s="1"/>
  <c r="AD23" i="3" a="1"/>
  <c r="AD23" i="3" s="1"/>
  <c r="AD24" i="3" a="1"/>
  <c r="AD24" i="3" s="1"/>
  <c r="AD25" i="3" a="1"/>
  <c r="AD25" i="3" s="1"/>
  <c r="AD26" i="3" a="1"/>
  <c r="AD26" i="3" s="1"/>
  <c r="AD27" i="3" a="1"/>
  <c r="AD27" i="3" s="1"/>
  <c r="AD28" i="3" a="1"/>
  <c r="AD28" i="3" s="1"/>
  <c r="AD29" i="3" a="1"/>
  <c r="AD29" i="3" s="1"/>
  <c r="AD30" i="3" a="1"/>
  <c r="AD30" i="3" s="1"/>
  <c r="AD33" i="3" a="1"/>
  <c r="AD33" i="3" s="1"/>
  <c r="AD34" i="3" a="1"/>
  <c r="AD34" i="3" s="1"/>
  <c r="AD35" i="3" a="1"/>
  <c r="AD35" i="3" s="1"/>
  <c r="AD36" i="3" a="1"/>
  <c r="AD36" i="3" s="1"/>
  <c r="AD37" i="3" a="1"/>
  <c r="AD37" i="3" s="1"/>
  <c r="AD40" i="3" a="1"/>
  <c r="AD40" i="3" s="1"/>
  <c r="AD41" i="3" a="1"/>
  <c r="AD41" i="3" s="1"/>
  <c r="AD9" i="3" a="1"/>
  <c r="AD9" i="3" s="1"/>
  <c r="AD32" i="3" a="1"/>
  <c r="AD32" i="3" s="1"/>
  <c r="G1" i="5"/>
  <c r="V11" i="4"/>
  <c r="Z11" i="4"/>
  <c r="AJ11" i="4" s="1"/>
  <c r="AK11" i="4" s="1"/>
  <c r="DW116" i="1"/>
  <c r="DW117" i="1"/>
  <c r="DW118" i="1"/>
  <c r="DW119" i="1"/>
  <c r="DW120" i="1"/>
  <c r="DW121" i="1"/>
  <c r="DW122" i="1"/>
  <c r="DW123" i="1"/>
  <c r="DW124" i="1"/>
  <c r="DW125" i="1"/>
  <c r="DW126" i="1"/>
  <c r="DW127" i="1"/>
  <c r="DW128" i="1"/>
  <c r="DW129" i="1"/>
  <c r="DW130" i="1"/>
  <c r="DW131" i="1"/>
  <c r="DW132" i="1"/>
  <c r="DW133" i="1"/>
  <c r="DW134" i="1"/>
  <c r="DW135" i="1"/>
  <c r="DW136" i="1"/>
  <c r="DW137" i="1"/>
  <c r="DW138" i="1"/>
  <c r="DW139" i="1"/>
  <c r="DW140" i="1"/>
  <c r="DW141" i="1"/>
  <c r="DW142" i="1"/>
  <c r="DW143" i="1"/>
  <c r="DW144" i="1"/>
  <c r="DW145" i="1"/>
  <c r="DW146" i="1"/>
  <c r="DW147" i="1"/>
  <c r="DW148" i="1"/>
  <c r="DW149" i="1"/>
  <c r="DW150" i="1"/>
  <c r="DW151" i="1"/>
  <c r="DW152" i="1"/>
  <c r="CZ116" i="1"/>
  <c r="CZ117" i="1"/>
  <c r="CZ118" i="1"/>
  <c r="CZ119" i="1"/>
  <c r="CZ120" i="1"/>
  <c r="CZ121" i="1"/>
  <c r="CZ122" i="1"/>
  <c r="CZ123" i="1"/>
  <c r="CZ124" i="1"/>
  <c r="CZ125" i="1"/>
  <c r="CZ126" i="1"/>
  <c r="CZ127" i="1"/>
  <c r="CZ128" i="1"/>
  <c r="CZ129" i="1"/>
  <c r="CZ130" i="1"/>
  <c r="CZ131" i="1"/>
  <c r="CZ132" i="1"/>
  <c r="CZ133" i="1"/>
  <c r="CZ134" i="1"/>
  <c r="CZ135" i="1"/>
  <c r="CZ136" i="1"/>
  <c r="CZ137" i="1"/>
  <c r="CZ138" i="1"/>
  <c r="CZ139" i="1"/>
  <c r="CZ140" i="1"/>
  <c r="CZ141" i="1"/>
  <c r="CZ142" i="1"/>
  <c r="CZ143" i="1"/>
  <c r="CZ144" i="1"/>
  <c r="CZ145" i="1"/>
  <c r="CZ146" i="1"/>
  <c r="CZ147" i="1"/>
  <c r="CZ148" i="1"/>
  <c r="CZ149" i="1"/>
  <c r="CZ150" i="1"/>
  <c r="CZ151" i="1"/>
  <c r="CZ152" i="1"/>
  <c r="AB114" i="1"/>
  <c r="AB115" i="1"/>
  <c r="AB116" i="1"/>
  <c r="AB117" i="1"/>
  <c r="AB118" i="1"/>
  <c r="AB119" i="1"/>
  <c r="AB120" i="1"/>
  <c r="AB121" i="1"/>
  <c r="AB122" i="1"/>
  <c r="AB123" i="1"/>
  <c r="AB124" i="1"/>
  <c r="AB125" i="1"/>
  <c r="AB126" i="1"/>
  <c r="AB127" i="1"/>
  <c r="AB128" i="1"/>
  <c r="AB129" i="1"/>
  <c r="AB130" i="1"/>
  <c r="AB131" i="1"/>
  <c r="AB132" i="1"/>
  <c r="AB133" i="1"/>
  <c r="AB134" i="1"/>
  <c r="AB135" i="1"/>
  <c r="AB136" i="1"/>
  <c r="AB137" i="1"/>
  <c r="AB138" i="1"/>
  <c r="AB139" i="1"/>
  <c r="AB140" i="1"/>
  <c r="AB141" i="1"/>
  <c r="AB142" i="1"/>
  <c r="AB143" i="1"/>
  <c r="AB144" i="1"/>
  <c r="AB145" i="1"/>
  <c r="AB146" i="1"/>
  <c r="AB147" i="1"/>
  <c r="AB148" i="1"/>
  <c r="AB149" i="1"/>
  <c r="AB150" i="1"/>
  <c r="AB151" i="1"/>
  <c r="EP118" i="1"/>
  <c r="EP119" i="1"/>
  <c r="EP120" i="1"/>
  <c r="EP121" i="1"/>
  <c r="EP122" i="1"/>
  <c r="EP123" i="1"/>
  <c r="EP124" i="1"/>
  <c r="EP125" i="1"/>
  <c r="EP126" i="1"/>
  <c r="EP127" i="1"/>
  <c r="EP128" i="1"/>
  <c r="EP129" i="1"/>
  <c r="EP130" i="1"/>
  <c r="EP131" i="1"/>
  <c r="EP132" i="1"/>
  <c r="EP133" i="1"/>
  <c r="EP134" i="1"/>
  <c r="EP135" i="1"/>
  <c r="EP136" i="1"/>
  <c r="EP137" i="1"/>
  <c r="EP138" i="1"/>
  <c r="EP139" i="1"/>
  <c r="EP140" i="1"/>
  <c r="EP141" i="1"/>
  <c r="EP142" i="1"/>
  <c r="EP143" i="1"/>
  <c r="EP144" i="1"/>
  <c r="EP145" i="1"/>
  <c r="EP146" i="1"/>
  <c r="EP147" i="1"/>
  <c r="EP148" i="1"/>
  <c r="EP149" i="1"/>
  <c r="EP150" i="1"/>
  <c r="EP151" i="1"/>
  <c r="EJ115" i="1"/>
  <c r="DW115" i="1"/>
  <c r="CZ115" i="1"/>
  <c r="AG46" i="4" l="1"/>
  <c r="AD31" i="3" a="1"/>
  <c r="AD31" i="3" s="1"/>
  <c r="EP115" i="1"/>
  <c r="AJ47" i="4" l="1"/>
  <c r="AG50" i="4" s="1"/>
  <c r="AG56" i="4"/>
  <c r="AG48" i="4"/>
  <c r="EJ114" i="1" l="1"/>
  <c r="EJ116" i="1"/>
  <c r="EP116" i="1" s="1"/>
  <c r="EJ117" i="1"/>
  <c r="EP117" i="1" s="1"/>
  <c r="EJ118" i="1"/>
  <c r="EJ119" i="1"/>
  <c r="EJ120" i="1"/>
  <c r="EJ121" i="1"/>
  <c r="EJ122" i="1"/>
  <c r="EJ123" i="1"/>
  <c r="EJ124" i="1"/>
  <c r="EJ125" i="1"/>
  <c r="EJ126" i="1"/>
  <c r="EJ127" i="1"/>
  <c r="EJ128" i="1"/>
  <c r="EJ129" i="1"/>
  <c r="EJ130" i="1"/>
  <c r="EJ131" i="1"/>
  <c r="EJ132" i="1"/>
  <c r="EJ133" i="1"/>
  <c r="EJ134" i="1"/>
  <c r="EJ135" i="1"/>
  <c r="EJ136" i="1"/>
  <c r="EJ137" i="1"/>
  <c r="EJ138" i="1"/>
  <c r="EJ139" i="1"/>
  <c r="EJ140" i="1"/>
  <c r="EJ141" i="1"/>
  <c r="EJ142" i="1"/>
  <c r="EJ143" i="1"/>
  <c r="EJ144" i="1"/>
  <c r="EJ145" i="1"/>
  <c r="EJ146" i="1"/>
  <c r="EJ147" i="1"/>
  <c r="EJ148" i="1"/>
  <c r="EJ149" i="1"/>
  <c r="EJ150" i="1"/>
  <c r="EJ151" i="1"/>
  <c r="EJ113" i="1"/>
  <c r="DW114" i="1"/>
  <c r="DW113" i="1"/>
  <c r="B103" i="5"/>
  <c r="B102" i="5" s="1"/>
  <c r="B5" i="5"/>
  <c r="B30" i="5" s="1"/>
  <c r="B29" i="5" s="1"/>
  <c r="A1" i="5"/>
  <c r="Z6" i="4"/>
  <c r="X10" i="3"/>
  <c r="X11" i="3"/>
  <c r="X12" i="3"/>
  <c r="X13" i="3"/>
  <c r="X33" i="3"/>
  <c r="X14" i="3"/>
  <c r="X34" i="3"/>
  <c r="X40" i="3"/>
  <c r="X35" i="3"/>
  <c r="X15" i="3"/>
  <c r="X16" i="3"/>
  <c r="X17" i="3"/>
  <c r="X18" i="3"/>
  <c r="X19" i="3"/>
  <c r="X20" i="3"/>
  <c r="X21" i="3"/>
  <c r="X22" i="3"/>
  <c r="X25" i="3"/>
  <c r="X36" i="3"/>
  <c r="X26" i="3"/>
  <c r="X27" i="3"/>
  <c r="X37" i="3"/>
  <c r="X28" i="3"/>
  <c r="X29" i="3"/>
  <c r="X39" i="3"/>
  <c r="X30" i="3"/>
  <c r="X41" i="3"/>
  <c r="X31" i="3"/>
  <c r="X32" i="3"/>
  <c r="X9" i="3"/>
  <c r="O11" i="3"/>
  <c r="P11" i="3"/>
  <c r="Q11" i="3"/>
  <c r="S31" i="4"/>
  <c r="T31" i="4"/>
  <c r="U31" i="4"/>
  <c r="AF28" i="4"/>
  <c r="Y28" i="4"/>
  <c r="X28" i="4"/>
  <c r="W28" i="4"/>
  <c r="R28" i="4"/>
  <c r="Q28" i="4"/>
  <c r="P28" i="4"/>
  <c r="O28" i="4"/>
  <c r="V28" i="4"/>
  <c r="N28" i="4"/>
  <c r="M28" i="4"/>
  <c r="D28" i="4"/>
  <c r="E28" i="4"/>
  <c r="F28" i="4"/>
  <c r="I28" i="4"/>
  <c r="J28" i="4"/>
  <c r="K28" i="4"/>
  <c r="C28" i="4"/>
  <c r="Q32" i="3"/>
  <c r="P32" i="3"/>
  <c r="O32" i="3"/>
  <c r="Q30" i="3"/>
  <c r="P30" i="3"/>
  <c r="O30" i="3"/>
  <c r="Q39" i="3"/>
  <c r="P39" i="3"/>
  <c r="O39" i="3"/>
  <c r="Q29" i="3"/>
  <c r="P29" i="3"/>
  <c r="O29" i="3"/>
  <c r="Q28" i="3"/>
  <c r="P28" i="3"/>
  <c r="O28" i="3"/>
  <c r="Q27" i="3"/>
  <c r="P27" i="3"/>
  <c r="O27" i="3"/>
  <c r="Q36" i="3"/>
  <c r="P36" i="3"/>
  <c r="O36" i="3"/>
  <c r="Q24" i="3"/>
  <c r="P24" i="3"/>
  <c r="O24" i="3"/>
  <c r="Q23" i="3"/>
  <c r="P23" i="3"/>
  <c r="O23" i="3"/>
  <c r="Q22" i="3"/>
  <c r="P22" i="3"/>
  <c r="O22" i="3"/>
  <c r="Q21" i="3"/>
  <c r="P21" i="3"/>
  <c r="O21" i="3"/>
  <c r="Q20" i="3"/>
  <c r="P20" i="3"/>
  <c r="O20" i="3"/>
  <c r="Q18" i="3"/>
  <c r="P18" i="3"/>
  <c r="O18" i="3"/>
  <c r="Q17" i="3"/>
  <c r="P17" i="3"/>
  <c r="O17" i="3"/>
  <c r="Q15" i="3"/>
  <c r="P15" i="3"/>
  <c r="O15" i="3"/>
  <c r="Q35" i="3"/>
  <c r="P35" i="3"/>
  <c r="O35" i="3"/>
  <c r="Q40" i="3"/>
  <c r="P40" i="3"/>
  <c r="O40" i="3"/>
  <c r="Q34" i="3"/>
  <c r="P34" i="3"/>
  <c r="O34" i="3"/>
  <c r="Q14" i="3"/>
  <c r="P14" i="3"/>
  <c r="O14" i="3"/>
  <c r="Q33" i="3"/>
  <c r="P33" i="3"/>
  <c r="O33" i="3"/>
  <c r="Q12" i="3"/>
  <c r="P12" i="3"/>
  <c r="O12" i="3"/>
  <c r="Q10" i="3"/>
  <c r="P10" i="3"/>
  <c r="O10" i="3"/>
  <c r="Q9" i="3"/>
  <c r="P9" i="3"/>
  <c r="O9" i="3"/>
  <c r="O25" i="3"/>
  <c r="P25" i="3"/>
  <c r="Q25" i="3"/>
  <c r="O26" i="3"/>
  <c r="P26" i="3"/>
  <c r="Q26" i="3"/>
  <c r="O37" i="3"/>
  <c r="P37" i="3"/>
  <c r="Q37" i="3"/>
  <c r="O41" i="3"/>
  <c r="P41" i="3"/>
  <c r="Q41" i="3"/>
  <c r="AD43" i="3" l="1"/>
  <c r="AG54" i="4" s="1"/>
  <c r="AG41" i="4" s="1"/>
  <c r="X43" i="3"/>
  <c r="AG29" i="3"/>
  <c r="AG23" i="3"/>
  <c r="AG36" i="3"/>
  <c r="AG25" i="3"/>
  <c r="AG24" i="3"/>
  <c r="AG13" i="3"/>
  <c r="AG12" i="3"/>
  <c r="AG37" i="3"/>
  <c r="AG27" i="3"/>
  <c r="AG10" i="3"/>
  <c r="AG17" i="3"/>
  <c r="AG9" i="3"/>
  <c r="AG15" i="3"/>
  <c r="AH15" i="3" s="1"/>
  <c r="AG35" i="3"/>
  <c r="AG34" i="3"/>
  <c r="AH34" i="3" s="1"/>
  <c r="AG21" i="3"/>
  <c r="AH21" i="3" s="1"/>
  <c r="AG19" i="3"/>
  <c r="AH19" i="3" s="1"/>
  <c r="AG31" i="3"/>
  <c r="AH31" i="3" s="1"/>
  <c r="AG30" i="3"/>
  <c r="AH30" i="3" s="1"/>
  <c r="AG39" i="3"/>
  <c r="AH39" i="3" s="1"/>
  <c r="AG14" i="3"/>
  <c r="AH14" i="3" s="1"/>
  <c r="AG28" i="3"/>
  <c r="AH28" i="3" s="1"/>
  <c r="AG11" i="3"/>
  <c r="AH11" i="3" s="1"/>
  <c r="AG22" i="3"/>
  <c r="AH22" i="3" s="1"/>
  <c r="AG20" i="3"/>
  <c r="AH20" i="3" s="1"/>
  <c r="AG16" i="3"/>
  <c r="AH16" i="3" s="1"/>
  <c r="AG41" i="3"/>
  <c r="AH41" i="3" s="1"/>
  <c r="AG40" i="3"/>
  <c r="AH40" i="3" s="1"/>
  <c r="AG33" i="3"/>
  <c r="AH33" i="3" s="1"/>
  <c r="AG26" i="3"/>
  <c r="AH26" i="3" s="1"/>
  <c r="AG18" i="3"/>
  <c r="AG32" i="3"/>
  <c r="OS114" i="1"/>
  <c r="V10" i="4"/>
  <c r="IV2" i="5"/>
  <c r="Z22" i="4"/>
  <c r="AJ22" i="4" s="1"/>
  <c r="AK22" i="4" s="1"/>
  <c r="AH35" i="3" l="1"/>
  <c r="AH38" i="3"/>
  <c r="AH9" i="3"/>
  <c r="AH17" i="3"/>
  <c r="AH10" i="3"/>
  <c r="AH27" i="3"/>
  <c r="AH37" i="3"/>
  <c r="AH12" i="3"/>
  <c r="AH13" i="3"/>
  <c r="AH24" i="3"/>
  <c r="AH25" i="3"/>
  <c r="AH36" i="3"/>
  <c r="AH23" i="3"/>
  <c r="AH29" i="3"/>
  <c r="AH32" i="3"/>
  <c r="AH18" i="3"/>
  <c r="AG42" i="4"/>
  <c r="Z12" i="4"/>
  <c r="AJ12" i="4" s="1"/>
  <c r="AK12" i="4" s="1"/>
  <c r="Z20" i="4"/>
  <c r="AJ20" i="4" s="1"/>
  <c r="AK20" i="4" s="1"/>
  <c r="Z21" i="4"/>
  <c r="AJ21" i="4" s="1"/>
  <c r="AK21" i="4" s="1"/>
  <c r="Z23" i="4"/>
  <c r="AJ23" i="4" s="1"/>
  <c r="AK23" i="4" s="1"/>
  <c r="Z24" i="4"/>
  <c r="AJ24" i="4" s="1"/>
  <c r="AK24" i="4" s="1"/>
  <c r="Z25" i="4"/>
  <c r="AJ25" i="4" s="1"/>
  <c r="AK25" i="4" s="1"/>
  <c r="Z26" i="4"/>
  <c r="AJ26" i="4" s="1"/>
  <c r="AK26" i="4" s="1"/>
  <c r="Z27" i="4"/>
  <c r="AJ27" i="4" s="1"/>
  <c r="AK27" i="4" s="1"/>
  <c r="Z29" i="4"/>
  <c r="AJ29" i="4" s="1"/>
  <c r="AK29" i="4" s="1"/>
  <c r="Z30" i="4"/>
  <c r="AJ30" i="4" s="1"/>
  <c r="AK30" i="4" s="1"/>
  <c r="Z32" i="4"/>
  <c r="AJ32" i="4" s="1"/>
  <c r="AK32" i="4" s="1"/>
  <c r="Z33" i="4"/>
  <c r="AJ33" i="4" s="1"/>
  <c r="AK33" i="4" s="1"/>
  <c r="Z34" i="4"/>
  <c r="AJ34" i="4" s="1"/>
  <c r="AK34" i="4" s="1"/>
  <c r="Z9" i="4"/>
  <c r="AJ9" i="4" s="1"/>
  <c r="AK9" i="4" s="1"/>
  <c r="Z10" i="4"/>
  <c r="AJ10" i="4" s="1"/>
  <c r="AK10" i="4" s="1"/>
  <c r="Z18" i="4"/>
  <c r="AJ18" i="4" s="1"/>
  <c r="AK18" i="4" s="1"/>
  <c r="Z14" i="4"/>
  <c r="AJ14" i="4" s="1"/>
  <c r="AK14" i="4" s="1"/>
  <c r="Z15" i="4"/>
  <c r="AJ15" i="4" s="1"/>
  <c r="AK15" i="4" s="1"/>
  <c r="Z16" i="4"/>
  <c r="AJ16" i="4" s="1"/>
  <c r="AK16" i="4" s="1"/>
  <c r="Z17" i="4"/>
  <c r="AJ17" i="4" s="1"/>
  <c r="AK17" i="4" s="1"/>
  <c r="Z19" i="4"/>
  <c r="AJ19" i="4" s="1"/>
  <c r="AK19" i="4" s="1"/>
  <c r="AJ55" i="4" l="1"/>
  <c r="AG58" i="4" s="1"/>
  <c r="AG57" i="4"/>
  <c r="Z28" i="4"/>
  <c r="AJ28" i="4" s="1"/>
  <c r="AK28" i="4" s="1"/>
  <c r="AG49" i="4" l="1"/>
  <c r="U34" i="4"/>
  <c r="T34" i="4"/>
  <c r="S34" i="4"/>
  <c r="U33" i="4"/>
  <c r="T33" i="4"/>
  <c r="S33" i="4"/>
  <c r="U32" i="4"/>
  <c r="T32" i="4"/>
  <c r="S32" i="4"/>
  <c r="U30" i="4"/>
  <c r="T30" i="4"/>
  <c r="S30" i="4"/>
  <c r="U29" i="4"/>
  <c r="T29" i="4"/>
  <c r="S29" i="4"/>
  <c r="U27" i="4"/>
  <c r="U28" i="4" s="1"/>
  <c r="T27" i="4"/>
  <c r="T28" i="4" s="1"/>
  <c r="S27" i="4"/>
  <c r="S28" i="4" s="1"/>
  <c r="U26" i="4"/>
  <c r="T26" i="4"/>
  <c r="S26" i="4"/>
  <c r="U25" i="4"/>
  <c r="T25" i="4"/>
  <c r="S25" i="4"/>
  <c r="U24" i="4"/>
  <c r="T24" i="4"/>
  <c r="S24" i="4"/>
  <c r="U23" i="4"/>
  <c r="T23" i="4"/>
  <c r="S23" i="4"/>
  <c r="U22" i="4"/>
  <c r="T22" i="4"/>
  <c r="S22" i="4"/>
  <c r="U21" i="4"/>
  <c r="T21" i="4"/>
  <c r="S21" i="4"/>
  <c r="U20" i="4"/>
  <c r="T20" i="4"/>
  <c r="S20" i="4"/>
  <c r="U19" i="4"/>
  <c r="T19" i="4"/>
  <c r="S19" i="4"/>
  <c r="U18" i="4"/>
  <c r="T18" i="4"/>
  <c r="S18" i="4"/>
  <c r="U17" i="4"/>
  <c r="T17" i="4"/>
  <c r="S17" i="4"/>
  <c r="U16" i="4"/>
  <c r="T16" i="4"/>
  <c r="S16" i="4"/>
  <c r="U15" i="4"/>
  <c r="T15" i="4"/>
  <c r="S15" i="4"/>
  <c r="U14" i="4"/>
  <c r="T14" i="4"/>
  <c r="S14" i="4"/>
  <c r="S6" i="2"/>
  <c r="CZ113" i="1"/>
  <c r="C113" i="1"/>
  <c r="OS113" i="1"/>
  <c r="OS112" i="1"/>
  <c r="S43" i="2"/>
  <c r="S42" i="2"/>
  <c r="S35" i="2"/>
  <c r="S36" i="2" s="1"/>
  <c r="S38" i="2" s="1"/>
  <c r="S31" i="2"/>
  <c r="S18" i="2"/>
  <c r="S14" i="2"/>
  <c r="S15" i="2" s="1"/>
  <c r="S17" i="2" s="1"/>
  <c r="S19" i="2" l="1"/>
  <c r="OS111" i="1"/>
  <c r="AA116" i="1"/>
  <c r="AA117" i="1"/>
  <c r="AA118" i="1"/>
  <c r="AA119" i="1"/>
  <c r="AA120" i="1"/>
  <c r="AA121" i="1"/>
  <c r="AA122" i="1"/>
  <c r="AA123" i="1"/>
  <c r="AA124" i="1"/>
  <c r="AA125" i="1"/>
  <c r="AA126" i="1"/>
  <c r="AA127" i="1"/>
  <c r="AA128" i="1"/>
  <c r="AA129" i="1"/>
  <c r="AA130" i="1"/>
  <c r="AA131" i="1"/>
  <c r="AA132" i="1"/>
  <c r="AA133" i="1"/>
  <c r="AA134" i="1"/>
  <c r="AA135" i="1"/>
  <c r="AA136" i="1"/>
  <c r="AA137" i="1"/>
  <c r="AA138" i="1"/>
  <c r="AA139" i="1"/>
  <c r="AA140" i="1"/>
  <c r="AA141" i="1"/>
  <c r="AA142" i="1"/>
  <c r="AA143" i="1"/>
  <c r="AA144" i="1"/>
  <c r="AA145" i="1"/>
  <c r="AA146" i="1"/>
  <c r="AA147" i="1"/>
  <c r="AA148" i="1"/>
  <c r="HC118" i="1"/>
  <c r="HC119" i="1"/>
  <c r="HC120" i="1"/>
  <c r="HC121" i="1"/>
  <c r="HC122" i="1"/>
  <c r="HC123" i="1"/>
  <c r="HC124" i="1"/>
  <c r="HC125" i="1"/>
  <c r="HC126" i="1"/>
  <c r="HC127" i="1"/>
  <c r="HC128" i="1"/>
  <c r="HC129" i="1"/>
  <c r="HC130" i="1"/>
  <c r="HC131" i="1"/>
  <c r="HC132" i="1"/>
  <c r="HC133" i="1"/>
  <c r="HC134" i="1"/>
  <c r="HC135" i="1"/>
  <c r="HC136" i="1"/>
  <c r="HC137" i="1"/>
  <c r="HC138" i="1"/>
  <c r="HC139" i="1"/>
  <c r="HC140" i="1"/>
  <c r="HC141" i="1"/>
  <c r="HC142" i="1"/>
  <c r="HC143" i="1"/>
  <c r="HC144" i="1"/>
  <c r="HC145" i="1"/>
  <c r="CY116" i="1"/>
  <c r="CY117" i="1"/>
  <c r="CY118" i="1"/>
  <c r="CY119" i="1"/>
  <c r="CY120" i="1"/>
  <c r="CY121" i="1"/>
  <c r="CY122" i="1"/>
  <c r="CY123" i="1"/>
  <c r="CY124" i="1"/>
  <c r="CY125" i="1"/>
  <c r="CY126" i="1"/>
  <c r="CY127" i="1"/>
  <c r="CY128" i="1"/>
  <c r="CY129" i="1"/>
  <c r="CY130" i="1"/>
  <c r="CY131" i="1"/>
  <c r="CY132" i="1"/>
  <c r="CY133" i="1"/>
  <c r="CY134" i="1"/>
  <c r="CY135" i="1"/>
  <c r="CY136" i="1"/>
  <c r="CY137" i="1"/>
  <c r="CY138" i="1"/>
  <c r="CY139" i="1"/>
  <c r="CY140" i="1"/>
  <c r="CY141" i="1"/>
  <c r="CY142" i="1"/>
  <c r="CY143" i="1"/>
  <c r="CY144" i="1"/>
  <c r="CY145" i="1"/>
  <c r="KZ116" i="1"/>
  <c r="KZ117" i="1"/>
  <c r="KZ118" i="1"/>
  <c r="KZ119" i="1"/>
  <c r="KZ120" i="1"/>
  <c r="KZ121" i="1"/>
  <c r="KZ122" i="1"/>
  <c r="KZ123" i="1"/>
  <c r="KZ124" i="1"/>
  <c r="KZ125" i="1"/>
  <c r="KZ126" i="1"/>
  <c r="KZ127" i="1"/>
  <c r="KZ128" i="1"/>
  <c r="KZ129" i="1"/>
  <c r="KZ130" i="1"/>
  <c r="KZ131" i="1"/>
  <c r="KZ132" i="1"/>
  <c r="KZ133" i="1"/>
  <c r="KZ134" i="1"/>
  <c r="KZ135" i="1"/>
  <c r="KZ136" i="1"/>
  <c r="KZ137" i="1"/>
  <c r="KZ138" i="1"/>
  <c r="KZ139" i="1"/>
  <c r="KZ140" i="1"/>
  <c r="KZ141" i="1"/>
  <c r="KZ142" i="1"/>
  <c r="KZ143" i="1"/>
  <c r="KZ144" i="1"/>
  <c r="KZ145" i="1"/>
  <c r="NR116" i="1"/>
  <c r="NR118" i="1"/>
  <c r="NR119" i="1"/>
  <c r="NR120" i="1"/>
  <c r="NR121" i="1"/>
  <c r="NR122" i="1"/>
  <c r="NR123" i="1"/>
  <c r="NR124" i="1"/>
  <c r="NR125" i="1"/>
  <c r="NR126" i="1"/>
  <c r="NR127" i="1"/>
  <c r="NR128" i="1"/>
  <c r="NR129" i="1"/>
  <c r="NR130" i="1"/>
  <c r="NR131" i="1"/>
  <c r="NR132" i="1"/>
  <c r="NR133" i="1"/>
  <c r="NR134" i="1"/>
  <c r="NR135" i="1"/>
  <c r="NR136" i="1"/>
  <c r="NR137" i="1"/>
  <c r="NR138" i="1"/>
  <c r="NR139" i="1"/>
  <c r="NR140" i="1"/>
  <c r="NR141" i="1"/>
  <c r="NR142" i="1"/>
  <c r="NR143" i="1"/>
  <c r="NR144" i="1"/>
  <c r="OE118" i="1"/>
  <c r="OE119" i="1"/>
  <c r="OE120" i="1"/>
  <c r="OE121" i="1"/>
  <c r="OE122" i="1"/>
  <c r="OE123" i="1"/>
  <c r="OE124" i="1"/>
  <c r="OE125" i="1"/>
  <c r="OE126" i="1"/>
  <c r="OE127" i="1"/>
  <c r="OE128" i="1"/>
  <c r="OE129" i="1"/>
  <c r="OE130" i="1"/>
  <c r="OE131" i="1"/>
  <c r="OE132" i="1"/>
  <c r="OE133" i="1"/>
  <c r="OE134" i="1"/>
  <c r="OE135" i="1"/>
  <c r="OE136" i="1"/>
  <c r="OE137" i="1"/>
  <c r="OE138" i="1"/>
  <c r="OE139" i="1"/>
  <c r="OE140" i="1"/>
  <c r="OE141" i="1"/>
  <c r="OE142" i="1"/>
  <c r="OE143" i="1"/>
  <c r="OE144" i="1"/>
  <c r="OF111" i="1"/>
  <c r="OF112" i="1"/>
  <c r="OF113" i="1"/>
  <c r="OF114" i="1"/>
  <c r="OF115" i="1"/>
  <c r="OF116" i="1"/>
  <c r="PG116" i="1" s="1"/>
  <c r="OF117" i="1"/>
  <c r="OX117" i="1" s="1"/>
  <c r="OF118" i="1"/>
  <c r="OF119" i="1"/>
  <c r="OF120" i="1"/>
  <c r="OF121" i="1"/>
  <c r="OF122" i="1"/>
  <c r="OF123" i="1"/>
  <c r="OF124" i="1"/>
  <c r="OF125" i="1"/>
  <c r="OF126" i="1"/>
  <c r="OF127" i="1"/>
  <c r="OF128" i="1"/>
  <c r="OF129" i="1"/>
  <c r="OF130" i="1"/>
  <c r="OF131" i="1"/>
  <c r="OF132" i="1"/>
  <c r="OF133" i="1"/>
  <c r="OF134" i="1"/>
  <c r="OF135" i="1"/>
  <c r="OF136" i="1"/>
  <c r="OF137" i="1"/>
  <c r="OF138" i="1"/>
  <c r="OF139" i="1"/>
  <c r="OF140" i="1"/>
  <c r="OF141" i="1"/>
  <c r="OF142" i="1"/>
  <c r="OF143" i="1"/>
  <c r="OF144" i="1"/>
  <c r="OF145" i="1"/>
  <c r="NS110" i="1"/>
  <c r="NS111" i="1"/>
  <c r="NS112" i="1"/>
  <c r="NS113" i="1"/>
  <c r="NS114" i="1"/>
  <c r="NS115" i="1"/>
  <c r="NS116" i="1"/>
  <c r="NS117" i="1"/>
  <c r="OZ117" i="1" s="1"/>
  <c r="NS118" i="1"/>
  <c r="NS119" i="1"/>
  <c r="NS120" i="1"/>
  <c r="NS121" i="1"/>
  <c r="NS122" i="1"/>
  <c r="NS123" i="1"/>
  <c r="NS124" i="1"/>
  <c r="NS125" i="1"/>
  <c r="NS126" i="1"/>
  <c r="NS127" i="1"/>
  <c r="NS128" i="1"/>
  <c r="NS129" i="1"/>
  <c r="NS130" i="1"/>
  <c r="NS131" i="1"/>
  <c r="NS132" i="1"/>
  <c r="NS133" i="1"/>
  <c r="NS134" i="1"/>
  <c r="NS135" i="1"/>
  <c r="NS136" i="1"/>
  <c r="NS137" i="1"/>
  <c r="NS138" i="1"/>
  <c r="NS139" i="1"/>
  <c r="NS140" i="1"/>
  <c r="NS141" i="1"/>
  <c r="NS142" i="1"/>
  <c r="NS143" i="1"/>
  <c r="NS144" i="1"/>
  <c r="LA110" i="1"/>
  <c r="LA111" i="1"/>
  <c r="LA112" i="1"/>
  <c r="LA113" i="1"/>
  <c r="LA114" i="1"/>
  <c r="LA115" i="1"/>
  <c r="LA116" i="1"/>
  <c r="LA117" i="1"/>
  <c r="LA118" i="1"/>
  <c r="LA119" i="1"/>
  <c r="LA120" i="1"/>
  <c r="LA121" i="1"/>
  <c r="LA122" i="1"/>
  <c r="LA123" i="1"/>
  <c r="LA124" i="1"/>
  <c r="LA125" i="1"/>
  <c r="LA126" i="1"/>
  <c r="LA127" i="1"/>
  <c r="LA128" i="1"/>
  <c r="LA129" i="1"/>
  <c r="LA130" i="1"/>
  <c r="LA131" i="1"/>
  <c r="LA132" i="1"/>
  <c r="LA133" i="1"/>
  <c r="LA134" i="1"/>
  <c r="LA135" i="1"/>
  <c r="LA136" i="1"/>
  <c r="LA137" i="1"/>
  <c r="LA138" i="1"/>
  <c r="LA139" i="1"/>
  <c r="LA140" i="1"/>
  <c r="LA141" i="1"/>
  <c r="LA142" i="1"/>
  <c r="LA143" i="1"/>
  <c r="LA144" i="1"/>
  <c r="LA145" i="1"/>
  <c r="LA146" i="1"/>
  <c r="LA147" i="1"/>
  <c r="LA148" i="1"/>
  <c r="LA149" i="1"/>
  <c r="LA150" i="1"/>
  <c r="LA151" i="1"/>
  <c r="CZ111" i="1"/>
  <c r="CZ112" i="1"/>
  <c r="CZ114" i="1"/>
  <c r="HD111" i="1"/>
  <c r="HD112" i="1"/>
  <c r="HD113" i="1"/>
  <c r="HD114" i="1"/>
  <c r="HD115" i="1"/>
  <c r="HD116" i="1"/>
  <c r="HC116" i="1" s="1"/>
  <c r="HD117" i="1"/>
  <c r="HC117" i="1" s="1"/>
  <c r="HD118" i="1"/>
  <c r="HD119" i="1"/>
  <c r="HD120" i="1"/>
  <c r="HD121" i="1"/>
  <c r="HD122" i="1"/>
  <c r="HD123" i="1"/>
  <c r="HD124" i="1"/>
  <c r="HD125" i="1"/>
  <c r="HD126" i="1"/>
  <c r="HD127" i="1"/>
  <c r="HD128" i="1"/>
  <c r="HD129" i="1"/>
  <c r="HD130" i="1"/>
  <c r="HD131" i="1"/>
  <c r="HD132" i="1"/>
  <c r="HD133" i="1"/>
  <c r="HD134" i="1"/>
  <c r="HD135" i="1"/>
  <c r="HD136" i="1"/>
  <c r="HD137" i="1"/>
  <c r="HD138" i="1"/>
  <c r="HD139" i="1"/>
  <c r="HD140" i="1"/>
  <c r="HD141" i="1"/>
  <c r="HD142" i="1"/>
  <c r="HD143" i="1"/>
  <c r="HD144" i="1"/>
  <c r="HD145" i="1"/>
  <c r="HD146" i="1"/>
  <c r="HD147" i="1"/>
  <c r="HD148" i="1"/>
  <c r="HD149" i="1"/>
  <c r="HD150" i="1"/>
  <c r="HD151" i="1"/>
  <c r="HD152" i="1"/>
  <c r="AB111" i="1"/>
  <c r="AB112" i="1"/>
  <c r="AB113" i="1"/>
  <c r="EP113" i="1" s="1"/>
  <c r="AA115" i="1"/>
  <c r="OW110" i="1"/>
  <c r="PB110" i="1"/>
  <c r="PH110" i="1"/>
  <c r="OW111" i="1"/>
  <c r="PB111" i="1"/>
  <c r="PH111" i="1"/>
  <c r="OW112" i="1"/>
  <c r="PB112" i="1"/>
  <c r="PH112" i="1"/>
  <c r="OW113" i="1"/>
  <c r="PB113" i="1"/>
  <c r="PH113" i="1"/>
  <c r="OW114" i="1"/>
  <c r="PB114" i="1"/>
  <c r="PH114" i="1"/>
  <c r="OW115" i="1"/>
  <c r="PB115" i="1"/>
  <c r="OU116" i="1"/>
  <c r="OV116" i="1" s="1"/>
  <c r="OW116" i="1"/>
  <c r="PB116" i="1"/>
  <c r="PC116" i="1" s="1"/>
  <c r="PD116" i="1" s="1"/>
  <c r="PE116" i="1"/>
  <c r="PF116" i="1"/>
  <c r="PH116" i="1"/>
  <c r="PL116" i="1"/>
  <c r="OU117" i="1"/>
  <c r="OV117" i="1"/>
  <c r="OW117" i="1"/>
  <c r="PB117" i="1"/>
  <c r="PC117" i="1" s="1"/>
  <c r="PD117" i="1" s="1"/>
  <c r="PE117" i="1"/>
  <c r="PF117" i="1"/>
  <c r="PH117" i="1"/>
  <c r="PL117" i="1"/>
  <c r="OU118" i="1"/>
  <c r="OV118" i="1"/>
  <c r="OW118" i="1"/>
  <c r="OX118" i="1"/>
  <c r="OY118" i="1"/>
  <c r="OZ118" i="1"/>
  <c r="PA118" i="1"/>
  <c r="PB118" i="1"/>
  <c r="PC118" i="1"/>
  <c r="PD118" i="1"/>
  <c r="PE118" i="1"/>
  <c r="PF118" i="1"/>
  <c r="PG118" i="1"/>
  <c r="PH118" i="1"/>
  <c r="PI118" i="1"/>
  <c r="PK118" i="1" s="1"/>
  <c r="PL118" i="1"/>
  <c r="PM118" i="1"/>
  <c r="PN118" i="1"/>
  <c r="OU119" i="1"/>
  <c r="OV119" i="1"/>
  <c r="OW119" i="1"/>
  <c r="OX119" i="1"/>
  <c r="OY119" i="1"/>
  <c r="OZ119" i="1"/>
  <c r="PA119" i="1"/>
  <c r="PB119" i="1"/>
  <c r="PC119" i="1"/>
  <c r="PD119" i="1"/>
  <c r="PE119" i="1"/>
  <c r="PF119" i="1"/>
  <c r="PG119" i="1"/>
  <c r="PH119" i="1"/>
  <c r="PI119" i="1"/>
  <c r="PO119" i="1" s="1"/>
  <c r="PL119" i="1"/>
  <c r="PM119" i="1"/>
  <c r="PN119" i="1"/>
  <c r="OU120" i="1"/>
  <c r="OV120" i="1"/>
  <c r="OW120" i="1"/>
  <c r="OX120" i="1"/>
  <c r="OY120" i="1"/>
  <c r="OZ120" i="1"/>
  <c r="PA120" i="1"/>
  <c r="PB120" i="1"/>
  <c r="PC120" i="1"/>
  <c r="PD120" i="1"/>
  <c r="PE120" i="1"/>
  <c r="PF120" i="1"/>
  <c r="PG120" i="1"/>
  <c r="PH120" i="1"/>
  <c r="PI120" i="1"/>
  <c r="PP120" i="1" s="1"/>
  <c r="PL120" i="1"/>
  <c r="PM120" i="1"/>
  <c r="PN120" i="1"/>
  <c r="OU121" i="1"/>
  <c r="OV121" i="1"/>
  <c r="OW121" i="1"/>
  <c r="OX121" i="1"/>
  <c r="OY121" i="1"/>
  <c r="OZ121" i="1"/>
  <c r="PA121" i="1"/>
  <c r="PB121" i="1"/>
  <c r="PC121" i="1"/>
  <c r="PD121" i="1"/>
  <c r="PE121" i="1"/>
  <c r="PF121" i="1"/>
  <c r="PG121" i="1"/>
  <c r="PH121" i="1"/>
  <c r="PI121" i="1"/>
  <c r="PK121" i="1" s="1"/>
  <c r="PL121" i="1"/>
  <c r="PM121" i="1"/>
  <c r="PN121" i="1"/>
  <c r="OU122" i="1"/>
  <c r="OV122" i="1"/>
  <c r="OW122" i="1"/>
  <c r="OX122" i="1"/>
  <c r="OY122" i="1"/>
  <c r="OZ122" i="1"/>
  <c r="PA122" i="1"/>
  <c r="PB122" i="1"/>
  <c r="PC122" i="1"/>
  <c r="PD122" i="1"/>
  <c r="PE122" i="1"/>
  <c r="PF122" i="1"/>
  <c r="PG122" i="1"/>
  <c r="PH122" i="1"/>
  <c r="PI122" i="1"/>
  <c r="PJ122" i="1" s="1"/>
  <c r="PL122" i="1"/>
  <c r="PM122" i="1"/>
  <c r="PN122" i="1"/>
  <c r="OU123" i="1"/>
  <c r="OV123" i="1"/>
  <c r="OW123" i="1"/>
  <c r="OX123" i="1"/>
  <c r="OY123" i="1"/>
  <c r="OZ123" i="1"/>
  <c r="PA123" i="1"/>
  <c r="PB123" i="1"/>
  <c r="PC123" i="1"/>
  <c r="PD123" i="1"/>
  <c r="PE123" i="1"/>
  <c r="PF123" i="1"/>
  <c r="PG123" i="1"/>
  <c r="PH123" i="1"/>
  <c r="PI123" i="1"/>
  <c r="PJ123" i="1" s="1"/>
  <c r="PL123" i="1"/>
  <c r="PM123" i="1"/>
  <c r="PN123" i="1"/>
  <c r="OU124" i="1"/>
  <c r="OV124" i="1"/>
  <c r="OW124" i="1"/>
  <c r="OX124" i="1"/>
  <c r="OY124" i="1"/>
  <c r="OZ124" i="1"/>
  <c r="PA124" i="1"/>
  <c r="PB124" i="1"/>
  <c r="PC124" i="1"/>
  <c r="PD124" i="1"/>
  <c r="PE124" i="1"/>
  <c r="PF124" i="1"/>
  <c r="PG124" i="1"/>
  <c r="PH124" i="1"/>
  <c r="PI124" i="1"/>
  <c r="PK124" i="1" s="1"/>
  <c r="PL124" i="1"/>
  <c r="PM124" i="1"/>
  <c r="PN124" i="1"/>
  <c r="OU125" i="1"/>
  <c r="OV125" i="1"/>
  <c r="OW125" i="1"/>
  <c r="OX125" i="1"/>
  <c r="OY125" i="1"/>
  <c r="OZ125" i="1"/>
  <c r="PA125" i="1"/>
  <c r="PB125" i="1"/>
  <c r="PC125" i="1"/>
  <c r="PD125" i="1"/>
  <c r="PE125" i="1"/>
  <c r="PF125" i="1"/>
  <c r="PG125" i="1"/>
  <c r="PH125" i="1"/>
  <c r="PI125" i="1"/>
  <c r="PO125" i="1" s="1"/>
  <c r="PL125" i="1"/>
  <c r="PM125" i="1"/>
  <c r="PN125" i="1"/>
  <c r="OU126" i="1"/>
  <c r="OV126" i="1"/>
  <c r="OW126" i="1"/>
  <c r="OX126" i="1"/>
  <c r="OY126" i="1"/>
  <c r="OZ126" i="1"/>
  <c r="PA126" i="1"/>
  <c r="PB126" i="1"/>
  <c r="PC126" i="1"/>
  <c r="PD126" i="1"/>
  <c r="PE126" i="1"/>
  <c r="PF126" i="1"/>
  <c r="PG126" i="1"/>
  <c r="PH126" i="1"/>
  <c r="PI126" i="1"/>
  <c r="PP126" i="1" s="1"/>
  <c r="PL126" i="1"/>
  <c r="PM126" i="1"/>
  <c r="PN126" i="1"/>
  <c r="OU127" i="1"/>
  <c r="OV127" i="1"/>
  <c r="OW127" i="1"/>
  <c r="OX127" i="1"/>
  <c r="OY127" i="1"/>
  <c r="OZ127" i="1"/>
  <c r="PA127" i="1"/>
  <c r="PB127" i="1"/>
  <c r="PC127" i="1"/>
  <c r="PD127" i="1"/>
  <c r="PE127" i="1"/>
  <c r="PF127" i="1"/>
  <c r="PG127" i="1"/>
  <c r="PH127" i="1"/>
  <c r="PI127" i="1"/>
  <c r="PK127" i="1" s="1"/>
  <c r="PL127" i="1"/>
  <c r="PM127" i="1"/>
  <c r="PN127" i="1"/>
  <c r="OU128" i="1"/>
  <c r="OV128" i="1"/>
  <c r="OW128" i="1"/>
  <c r="OX128" i="1"/>
  <c r="OY128" i="1"/>
  <c r="OZ128" i="1"/>
  <c r="PA128" i="1"/>
  <c r="PB128" i="1"/>
  <c r="PC128" i="1"/>
  <c r="PD128" i="1"/>
  <c r="PE128" i="1"/>
  <c r="PF128" i="1"/>
  <c r="PG128" i="1"/>
  <c r="PH128" i="1"/>
  <c r="PI128" i="1"/>
  <c r="PJ128" i="1" s="1"/>
  <c r="PL128" i="1"/>
  <c r="PM128" i="1"/>
  <c r="PN128" i="1"/>
  <c r="OU129" i="1"/>
  <c r="OV129" i="1"/>
  <c r="OW129" i="1"/>
  <c r="OX129" i="1"/>
  <c r="OY129" i="1"/>
  <c r="OZ129" i="1"/>
  <c r="PA129" i="1"/>
  <c r="PB129" i="1"/>
  <c r="PC129" i="1"/>
  <c r="PD129" i="1"/>
  <c r="PE129" i="1"/>
  <c r="PF129" i="1"/>
  <c r="PG129" i="1"/>
  <c r="PH129" i="1"/>
  <c r="PI129" i="1"/>
  <c r="PJ129" i="1" s="1"/>
  <c r="PL129" i="1"/>
  <c r="PM129" i="1"/>
  <c r="PN129" i="1"/>
  <c r="OU130" i="1"/>
  <c r="OV130" i="1"/>
  <c r="OW130" i="1"/>
  <c r="OX130" i="1"/>
  <c r="OY130" i="1"/>
  <c r="OZ130" i="1"/>
  <c r="PA130" i="1"/>
  <c r="PB130" i="1"/>
  <c r="PC130" i="1"/>
  <c r="PD130" i="1"/>
  <c r="PE130" i="1"/>
  <c r="PF130" i="1"/>
  <c r="PG130" i="1"/>
  <c r="PH130" i="1"/>
  <c r="PI130" i="1"/>
  <c r="PK130" i="1" s="1"/>
  <c r="PL130" i="1"/>
  <c r="PM130" i="1"/>
  <c r="PN130" i="1"/>
  <c r="OU131" i="1"/>
  <c r="OV131" i="1"/>
  <c r="OW131" i="1"/>
  <c r="OX131" i="1"/>
  <c r="OY131" i="1"/>
  <c r="OZ131" i="1"/>
  <c r="PA131" i="1"/>
  <c r="PB131" i="1"/>
  <c r="PC131" i="1"/>
  <c r="PD131" i="1"/>
  <c r="PE131" i="1"/>
  <c r="PF131" i="1"/>
  <c r="PG131" i="1"/>
  <c r="PH131" i="1"/>
  <c r="PI131" i="1"/>
  <c r="PO131" i="1" s="1"/>
  <c r="PL131" i="1"/>
  <c r="PM131" i="1"/>
  <c r="PN131" i="1"/>
  <c r="OU132" i="1"/>
  <c r="OV132" i="1"/>
  <c r="OW132" i="1"/>
  <c r="OX132" i="1"/>
  <c r="OY132" i="1"/>
  <c r="OZ132" i="1"/>
  <c r="PA132" i="1"/>
  <c r="PB132" i="1"/>
  <c r="PC132" i="1"/>
  <c r="PD132" i="1"/>
  <c r="PE132" i="1"/>
  <c r="PF132" i="1"/>
  <c r="PG132" i="1"/>
  <c r="PH132" i="1"/>
  <c r="PI132" i="1"/>
  <c r="PP132" i="1" s="1"/>
  <c r="PL132" i="1"/>
  <c r="PM132" i="1"/>
  <c r="PN132" i="1"/>
  <c r="OU133" i="1"/>
  <c r="OV133" i="1"/>
  <c r="OW133" i="1"/>
  <c r="OX133" i="1"/>
  <c r="OY133" i="1"/>
  <c r="OZ133" i="1"/>
  <c r="PA133" i="1"/>
  <c r="PB133" i="1"/>
  <c r="PC133" i="1"/>
  <c r="PD133" i="1"/>
  <c r="PE133" i="1"/>
  <c r="PF133" i="1"/>
  <c r="PG133" i="1"/>
  <c r="PH133" i="1"/>
  <c r="PI133" i="1"/>
  <c r="PK133" i="1" s="1"/>
  <c r="PL133" i="1"/>
  <c r="PM133" i="1"/>
  <c r="PN133" i="1"/>
  <c r="OU134" i="1"/>
  <c r="OV134" i="1"/>
  <c r="OW134" i="1"/>
  <c r="OX134" i="1"/>
  <c r="OY134" i="1"/>
  <c r="OZ134" i="1"/>
  <c r="PA134" i="1"/>
  <c r="PB134" i="1"/>
  <c r="PC134" i="1"/>
  <c r="PD134" i="1"/>
  <c r="PE134" i="1"/>
  <c r="PF134" i="1"/>
  <c r="PG134" i="1"/>
  <c r="PH134" i="1"/>
  <c r="PI134" i="1"/>
  <c r="PJ134" i="1" s="1"/>
  <c r="PL134" i="1"/>
  <c r="PM134" i="1"/>
  <c r="PN134" i="1"/>
  <c r="OU135" i="1"/>
  <c r="OV135" i="1"/>
  <c r="OW135" i="1"/>
  <c r="OX135" i="1"/>
  <c r="OY135" i="1"/>
  <c r="OZ135" i="1"/>
  <c r="PA135" i="1"/>
  <c r="PB135" i="1"/>
  <c r="PC135" i="1"/>
  <c r="PD135" i="1"/>
  <c r="PE135" i="1"/>
  <c r="PF135" i="1"/>
  <c r="PG135" i="1"/>
  <c r="PH135" i="1"/>
  <c r="PI135" i="1"/>
  <c r="PJ135" i="1" s="1"/>
  <c r="PL135" i="1"/>
  <c r="PM135" i="1"/>
  <c r="PN135" i="1"/>
  <c r="OU136" i="1"/>
  <c r="OV136" i="1"/>
  <c r="OW136" i="1"/>
  <c r="OX136" i="1"/>
  <c r="OY136" i="1"/>
  <c r="OZ136" i="1"/>
  <c r="PA136" i="1"/>
  <c r="PB136" i="1"/>
  <c r="PC136" i="1"/>
  <c r="PD136" i="1"/>
  <c r="PE136" i="1"/>
  <c r="PF136" i="1"/>
  <c r="PG136" i="1"/>
  <c r="PH136" i="1"/>
  <c r="PI136" i="1"/>
  <c r="PK136" i="1" s="1"/>
  <c r="PL136" i="1"/>
  <c r="PM136" i="1"/>
  <c r="PN136" i="1"/>
  <c r="OU137" i="1"/>
  <c r="OV137" i="1"/>
  <c r="OW137" i="1"/>
  <c r="OX137" i="1"/>
  <c r="OY137" i="1"/>
  <c r="OZ137" i="1"/>
  <c r="PA137" i="1"/>
  <c r="PB137" i="1"/>
  <c r="PC137" i="1"/>
  <c r="PD137" i="1"/>
  <c r="PE137" i="1"/>
  <c r="PF137" i="1"/>
  <c r="PG137" i="1"/>
  <c r="PH137" i="1"/>
  <c r="PI137" i="1"/>
  <c r="PO137" i="1" s="1"/>
  <c r="PL137" i="1"/>
  <c r="PM137" i="1"/>
  <c r="PN137" i="1"/>
  <c r="OU138" i="1"/>
  <c r="OV138" i="1"/>
  <c r="OW138" i="1"/>
  <c r="OX138" i="1"/>
  <c r="OY138" i="1"/>
  <c r="OZ138" i="1"/>
  <c r="PA138" i="1"/>
  <c r="PB138" i="1"/>
  <c r="PC138" i="1"/>
  <c r="PD138" i="1"/>
  <c r="PE138" i="1"/>
  <c r="PF138" i="1"/>
  <c r="PG138" i="1"/>
  <c r="PH138" i="1"/>
  <c r="PI138" i="1"/>
  <c r="PP138" i="1" s="1"/>
  <c r="PL138" i="1"/>
  <c r="PM138" i="1"/>
  <c r="PN138" i="1"/>
  <c r="OU139" i="1"/>
  <c r="OV139" i="1"/>
  <c r="OW139" i="1"/>
  <c r="OX139" i="1"/>
  <c r="OY139" i="1"/>
  <c r="OZ139" i="1"/>
  <c r="PA139" i="1"/>
  <c r="PB139" i="1"/>
  <c r="PC139" i="1"/>
  <c r="PD139" i="1"/>
  <c r="PE139" i="1"/>
  <c r="PF139" i="1"/>
  <c r="PG139" i="1"/>
  <c r="PH139" i="1"/>
  <c r="PI139" i="1"/>
  <c r="PK139" i="1" s="1"/>
  <c r="PL139" i="1"/>
  <c r="PM139" i="1"/>
  <c r="PN139" i="1"/>
  <c r="OU140" i="1"/>
  <c r="OV140" i="1"/>
  <c r="OW140" i="1"/>
  <c r="OX140" i="1"/>
  <c r="OY140" i="1"/>
  <c r="OZ140" i="1"/>
  <c r="PA140" i="1"/>
  <c r="PB140" i="1"/>
  <c r="PC140" i="1"/>
  <c r="PD140" i="1"/>
  <c r="PE140" i="1"/>
  <c r="PF140" i="1"/>
  <c r="PG140" i="1"/>
  <c r="PH140" i="1"/>
  <c r="PI140" i="1"/>
  <c r="PJ140" i="1" s="1"/>
  <c r="PL140" i="1"/>
  <c r="PM140" i="1"/>
  <c r="PN140" i="1"/>
  <c r="OU141" i="1"/>
  <c r="OV141" i="1"/>
  <c r="OW141" i="1"/>
  <c r="OX141" i="1"/>
  <c r="OY141" i="1"/>
  <c r="OZ141" i="1"/>
  <c r="PA141" i="1"/>
  <c r="PB141" i="1"/>
  <c r="PC141" i="1"/>
  <c r="PD141" i="1"/>
  <c r="PE141" i="1"/>
  <c r="PF141" i="1"/>
  <c r="PG141" i="1"/>
  <c r="PH141" i="1"/>
  <c r="PI141" i="1"/>
  <c r="PJ141" i="1" s="1"/>
  <c r="PL141" i="1"/>
  <c r="PM141" i="1"/>
  <c r="PN141" i="1"/>
  <c r="OU142" i="1"/>
  <c r="OV142" i="1"/>
  <c r="OW142" i="1"/>
  <c r="OX142" i="1"/>
  <c r="OY142" i="1"/>
  <c r="OZ142" i="1"/>
  <c r="PA142" i="1"/>
  <c r="PB142" i="1"/>
  <c r="PC142" i="1"/>
  <c r="PD142" i="1"/>
  <c r="PE142" i="1"/>
  <c r="PF142" i="1"/>
  <c r="PG142" i="1"/>
  <c r="PH142" i="1"/>
  <c r="PI142" i="1"/>
  <c r="PK142" i="1" s="1"/>
  <c r="PL142" i="1"/>
  <c r="PM142" i="1"/>
  <c r="PN142" i="1"/>
  <c r="OU143" i="1"/>
  <c r="OV143" i="1"/>
  <c r="OW143" i="1"/>
  <c r="OX143" i="1"/>
  <c r="OY143" i="1"/>
  <c r="OZ143" i="1"/>
  <c r="PA143" i="1"/>
  <c r="PB143" i="1"/>
  <c r="PC143" i="1"/>
  <c r="PD143" i="1"/>
  <c r="PE143" i="1"/>
  <c r="PF143" i="1"/>
  <c r="PG143" i="1"/>
  <c r="PH143" i="1"/>
  <c r="PI143" i="1"/>
  <c r="PO143" i="1" s="1"/>
  <c r="PL143" i="1"/>
  <c r="PM143" i="1"/>
  <c r="PN143" i="1"/>
  <c r="OU144" i="1"/>
  <c r="OV144" i="1"/>
  <c r="OW144" i="1"/>
  <c r="OX144" i="1"/>
  <c r="OY144" i="1"/>
  <c r="OZ144" i="1"/>
  <c r="PA144" i="1"/>
  <c r="PB144" i="1"/>
  <c r="PC144" i="1"/>
  <c r="PD144" i="1"/>
  <c r="PE144" i="1"/>
  <c r="PF144" i="1"/>
  <c r="PG144" i="1"/>
  <c r="PH144" i="1"/>
  <c r="PI144" i="1"/>
  <c r="PP144" i="1" s="1"/>
  <c r="PL144" i="1"/>
  <c r="PM144" i="1"/>
  <c r="PN144" i="1"/>
  <c r="OF110" i="1"/>
  <c r="OS110" i="1"/>
  <c r="CZ110" i="1"/>
  <c r="HD110" i="1"/>
  <c r="C110" i="1"/>
  <c r="AB110" i="1" s="1"/>
  <c r="PI117" i="1" l="1"/>
  <c r="PJ117" i="1" s="1"/>
  <c r="PA117" i="1"/>
  <c r="PM117" i="1"/>
  <c r="PN117" i="1" s="1"/>
  <c r="OY117" i="1"/>
  <c r="NR117" i="1"/>
  <c r="OE117" i="1"/>
  <c r="PG117" i="1"/>
  <c r="OX116" i="1"/>
  <c r="OE116" i="1"/>
  <c r="OZ116" i="1"/>
  <c r="OE115" i="1"/>
  <c r="PL115" i="1"/>
  <c r="NR115" i="1"/>
  <c r="HC115" i="1"/>
  <c r="OZ115" i="1"/>
  <c r="CY114" i="1"/>
  <c r="CY115" i="1"/>
  <c r="PG115" i="1"/>
  <c r="PH115" i="1" s="1"/>
  <c r="PE115" i="1"/>
  <c r="OX115" i="1"/>
  <c r="KZ115" i="1"/>
  <c r="PC115" i="1"/>
  <c r="OU115" i="1"/>
  <c r="PL114" i="1"/>
  <c r="HC114" i="1"/>
  <c r="NR114" i="1"/>
  <c r="PC114" i="1"/>
  <c r="OE114" i="1"/>
  <c r="PG114" i="1"/>
  <c r="KZ114" i="1"/>
  <c r="AA114" i="1"/>
  <c r="OU114" i="1"/>
  <c r="OX114" i="1"/>
  <c r="OZ114" i="1"/>
  <c r="PE114" i="1"/>
  <c r="AA112" i="1"/>
  <c r="NR112" i="1"/>
  <c r="KZ112" i="1"/>
  <c r="PL112" i="1"/>
  <c r="KZ113" i="1"/>
  <c r="OU113" i="1"/>
  <c r="NR113" i="1"/>
  <c r="HC113" i="1"/>
  <c r="PL113" i="1"/>
  <c r="CY113" i="1"/>
  <c r="OE113" i="1"/>
  <c r="OX112" i="1"/>
  <c r="OZ113" i="1"/>
  <c r="OU112" i="1"/>
  <c r="PE113" i="1"/>
  <c r="PC113" i="1"/>
  <c r="PG113" i="1"/>
  <c r="OX113" i="1"/>
  <c r="AA113" i="1"/>
  <c r="PC112" i="1"/>
  <c r="CY112" i="1"/>
  <c r="PE112" i="1"/>
  <c r="OE112" i="1"/>
  <c r="PG112" i="1"/>
  <c r="HC112" i="1"/>
  <c r="OZ112" i="1"/>
  <c r="PL111" i="1"/>
  <c r="AA111" i="1"/>
  <c r="OE111" i="1"/>
  <c r="CY111" i="1"/>
  <c r="KZ111" i="1"/>
  <c r="NR111" i="1"/>
  <c r="HC111" i="1"/>
  <c r="PG111" i="1"/>
  <c r="PC111" i="1"/>
  <c r="OZ111" i="1"/>
  <c r="OX111" i="1"/>
  <c r="PE111" i="1"/>
  <c r="OU111" i="1"/>
  <c r="OU110" i="1"/>
  <c r="PG110" i="1"/>
  <c r="PK143" i="1"/>
  <c r="PL110" i="1"/>
  <c r="PC110" i="1"/>
  <c r="OX110" i="1"/>
  <c r="OZ110" i="1"/>
  <c r="PO144" i="1"/>
  <c r="PK144" i="1"/>
  <c r="PO120" i="1"/>
  <c r="PK132" i="1"/>
  <c r="PK126" i="1"/>
  <c r="PK131" i="1"/>
  <c r="PE110" i="1"/>
  <c r="PK140" i="1"/>
  <c r="PJ121" i="1"/>
  <c r="PK134" i="1"/>
  <c r="PK119" i="1"/>
  <c r="PJ119" i="1"/>
  <c r="PK128" i="1"/>
  <c r="PJ133" i="1"/>
  <c r="PK122" i="1"/>
  <c r="PK138" i="1"/>
  <c r="PO132" i="1"/>
  <c r="PJ143" i="1"/>
  <c r="PJ131" i="1"/>
  <c r="PJ139" i="1"/>
  <c r="PJ127" i="1"/>
  <c r="PK120" i="1"/>
  <c r="PK137" i="1"/>
  <c r="PK125" i="1"/>
  <c r="PO138" i="1"/>
  <c r="PJ137" i="1"/>
  <c r="PO126" i="1"/>
  <c r="PJ125" i="1"/>
  <c r="PP139" i="1"/>
  <c r="PP133" i="1"/>
  <c r="PP127" i="1"/>
  <c r="PP121" i="1"/>
  <c r="PO139" i="1"/>
  <c r="PO133" i="1"/>
  <c r="PO127" i="1"/>
  <c r="PO121" i="1"/>
  <c r="PP140" i="1"/>
  <c r="PP134" i="1"/>
  <c r="PP128" i="1"/>
  <c r="PP122" i="1"/>
  <c r="PO140" i="1"/>
  <c r="PO134" i="1"/>
  <c r="PO128" i="1"/>
  <c r="PO122" i="1"/>
  <c r="PJ142" i="1"/>
  <c r="PJ136" i="1"/>
  <c r="PJ130" i="1"/>
  <c r="PJ124" i="1"/>
  <c r="PJ118" i="1"/>
  <c r="PJ144" i="1"/>
  <c r="PP141" i="1"/>
  <c r="PJ138" i="1"/>
  <c r="PP135" i="1"/>
  <c r="PJ132" i="1"/>
  <c r="PP129" i="1"/>
  <c r="PJ126" i="1"/>
  <c r="PP123" i="1"/>
  <c r="PJ120" i="1"/>
  <c r="PO129" i="1"/>
  <c r="PO123" i="1"/>
  <c r="PO117" i="1"/>
  <c r="PP117" i="1" s="1"/>
  <c r="PP142" i="1"/>
  <c r="PP136" i="1"/>
  <c r="PP130" i="1"/>
  <c r="PP124" i="1"/>
  <c r="PP118" i="1"/>
  <c r="PO142" i="1"/>
  <c r="PO130" i="1"/>
  <c r="PO124" i="1"/>
  <c r="PO118" i="1"/>
  <c r="PO135" i="1"/>
  <c r="PO136" i="1"/>
  <c r="PP143" i="1"/>
  <c r="PP137" i="1"/>
  <c r="PP131" i="1"/>
  <c r="PP125" i="1"/>
  <c r="PP119" i="1"/>
  <c r="PK135" i="1"/>
  <c r="PK129" i="1"/>
  <c r="PK123" i="1"/>
  <c r="PK117" i="1"/>
  <c r="PO141" i="1"/>
  <c r="PK141" i="1"/>
  <c r="PA116" i="1" l="1"/>
  <c r="PI116" i="1"/>
  <c r="PM116" i="1"/>
  <c r="PN116" i="1" s="1"/>
  <c r="OY116" i="1"/>
  <c r="PF115" i="1"/>
  <c r="PA115" i="1"/>
  <c r="PM115" i="1"/>
  <c r="PI115" i="1"/>
  <c r="OV115" i="1"/>
  <c r="PF114" i="1"/>
  <c r="PA114" i="1"/>
  <c r="PM114" i="1"/>
  <c r="PI114" i="1"/>
  <c r="OV114" i="1"/>
  <c r="OV113" i="1"/>
  <c r="PI113" i="1"/>
  <c r="OV112" i="1"/>
  <c r="PF113" i="1"/>
  <c r="PA113" i="1"/>
  <c r="PF112" i="1"/>
  <c r="PM113" i="1"/>
  <c r="PM112" i="1"/>
  <c r="PI112" i="1"/>
  <c r="PA112" i="1"/>
  <c r="PI110" i="1"/>
  <c r="PF111" i="1"/>
  <c r="PA111" i="1"/>
  <c r="OV111" i="1"/>
  <c r="PI111" i="1"/>
  <c r="PM111" i="1"/>
  <c r="PM110" i="1"/>
  <c r="C147" i="2"/>
  <c r="B147" i="2"/>
  <c r="C144" i="2"/>
  <c r="C136" i="2"/>
  <c r="C143" i="2" s="1"/>
  <c r="C133" i="2"/>
  <c r="C129" i="2"/>
  <c r="B129" i="2"/>
  <c r="C125" i="2"/>
  <c r="C119" i="2"/>
  <c r="C120" i="2" s="1"/>
  <c r="C113" i="2"/>
  <c r="C114" i="2" s="1"/>
  <c r="C109" i="2"/>
  <c r="C116" i="2" s="1"/>
  <c r="C102" i="2"/>
  <c r="C126" i="2" s="1"/>
  <c r="S136" i="2"/>
  <c r="S143" i="2" s="1"/>
  <c r="S129" i="2"/>
  <c r="S147" i="2"/>
  <c r="R147" i="2"/>
  <c r="R129" i="2"/>
  <c r="S102" i="2"/>
  <c r="S126" i="2" s="1"/>
  <c r="S144" i="2"/>
  <c r="S133" i="2"/>
  <c r="S125" i="2"/>
  <c r="S119" i="2"/>
  <c r="S120" i="2" s="1"/>
  <c r="S113" i="2"/>
  <c r="S114" i="2" s="1"/>
  <c r="S109" i="2"/>
  <c r="S116" i="2" s="1"/>
  <c r="LD108" i="1"/>
  <c r="EX108" i="1"/>
  <c r="HG107" i="1"/>
  <c r="PJ116" i="1" l="1"/>
  <c r="PK116" i="1"/>
  <c r="PO116" i="1"/>
  <c r="PP116" i="1" s="1"/>
  <c r="PJ115" i="1"/>
  <c r="PJ114" i="1"/>
  <c r="PJ113" i="1"/>
  <c r="PJ112" i="1"/>
  <c r="PJ111" i="1"/>
  <c r="S137" i="2"/>
  <c r="S138" i="2" s="1"/>
  <c r="S140" i="2" s="1"/>
  <c r="C137" i="2"/>
  <c r="C138" i="2" s="1"/>
  <c r="C140" i="2" s="1"/>
  <c r="AF106" i="1"/>
  <c r="AF105" i="1"/>
  <c r="HD105" i="1"/>
  <c r="AF104" i="1"/>
  <c r="S41" i="2"/>
  <c r="S23" i="2"/>
  <c r="S24" i="2" s="1"/>
  <c r="S22" i="2"/>
  <c r="LA103" i="1"/>
  <c r="AF103" i="1"/>
  <c r="EX103" i="1"/>
  <c r="AF102" i="1"/>
  <c r="EX102" i="1"/>
  <c r="AF101" i="1" l="1"/>
  <c r="AF100" i="1"/>
  <c r="AF99" i="1"/>
  <c r="AF98" i="1"/>
  <c r="LD97" i="1"/>
  <c r="HG97" i="1"/>
  <c r="AF97" i="1"/>
  <c r="AF96" i="1"/>
  <c r="AF95" i="1"/>
  <c r="HD95" i="1"/>
  <c r="AF94" i="1"/>
  <c r="AF93" i="1" l="1"/>
  <c r="LD92" i="1"/>
  <c r="HG92" i="1"/>
  <c r="AF92" i="1"/>
  <c r="AF91" i="1"/>
  <c r="AF90" i="1"/>
  <c r="PH101" i="1"/>
  <c r="PH102" i="1"/>
  <c r="PH103" i="1"/>
  <c r="PH104" i="1"/>
  <c r="PH105" i="1"/>
  <c r="PH106" i="1"/>
  <c r="PH107" i="1"/>
  <c r="PH108" i="1"/>
  <c r="PH109" i="1"/>
  <c r="OS58" i="1"/>
  <c r="OR59" i="1"/>
  <c r="OS59" i="1"/>
  <c r="OS60" i="1"/>
  <c r="OS61" i="1"/>
  <c r="OS62" i="1"/>
  <c r="OS63" i="1"/>
  <c r="OS64" i="1"/>
  <c r="OS65" i="1"/>
  <c r="OS66" i="1"/>
  <c r="OS67" i="1"/>
  <c r="OS68" i="1"/>
  <c r="OS69" i="1"/>
  <c r="OS70" i="1"/>
  <c r="OS71" i="1"/>
  <c r="OS72" i="1"/>
  <c r="OS73" i="1"/>
  <c r="OS74" i="1"/>
  <c r="OS75" i="1"/>
  <c r="OS76" i="1"/>
  <c r="OS77" i="1"/>
  <c r="OS78" i="1"/>
  <c r="OS79" i="1"/>
  <c r="OS80" i="1"/>
  <c r="OS81" i="1"/>
  <c r="OS82" i="1"/>
  <c r="OS83" i="1"/>
  <c r="OS84" i="1"/>
  <c r="OS85" i="1"/>
  <c r="OS86" i="1"/>
  <c r="OS87" i="1"/>
  <c r="OS88" i="1"/>
  <c r="OS89" i="1"/>
  <c r="OS90" i="1"/>
  <c r="OS91" i="1"/>
  <c r="OS92" i="1"/>
  <c r="OS93" i="1"/>
  <c r="OS94" i="1"/>
  <c r="OS95" i="1"/>
  <c r="OS96" i="1"/>
  <c r="OS97" i="1"/>
  <c r="OS98" i="1"/>
  <c r="OS99" i="1"/>
  <c r="OS100" i="1"/>
  <c r="OS101" i="1"/>
  <c r="OS102" i="1"/>
  <c r="OS103" i="1"/>
  <c r="OS104" i="1"/>
  <c r="OS105" i="1"/>
  <c r="OS106" i="1"/>
  <c r="OS107" i="1"/>
  <c r="OS108" i="1"/>
  <c r="OS109" i="1"/>
  <c r="OF16" i="1"/>
  <c r="OF17" i="1"/>
  <c r="OF18" i="1"/>
  <c r="OF19" i="1"/>
  <c r="OF20" i="1"/>
  <c r="OF21" i="1"/>
  <c r="OF22" i="1"/>
  <c r="OF23" i="1"/>
  <c r="OF24" i="1"/>
  <c r="OF25" i="1"/>
  <c r="OF26" i="1"/>
  <c r="OF27" i="1"/>
  <c r="OF28" i="1"/>
  <c r="OF29" i="1"/>
  <c r="OF30" i="1"/>
  <c r="OF31" i="1"/>
  <c r="OF32" i="1"/>
  <c r="OF33" i="1"/>
  <c r="OF34" i="1"/>
  <c r="OF35" i="1"/>
  <c r="OF36" i="1"/>
  <c r="OF37" i="1"/>
  <c r="OF38" i="1"/>
  <c r="OF39" i="1"/>
  <c r="OF40" i="1"/>
  <c r="OF41" i="1"/>
  <c r="OF42" i="1"/>
  <c r="OF43" i="1"/>
  <c r="OF44" i="1"/>
  <c r="OF45" i="1"/>
  <c r="OF46" i="1"/>
  <c r="OF47" i="1"/>
  <c r="OF48" i="1"/>
  <c r="OF49" i="1"/>
  <c r="OF50" i="1"/>
  <c r="OF51" i="1"/>
  <c r="OF52" i="1"/>
  <c r="OF53" i="1"/>
  <c r="OF54" i="1"/>
  <c r="OF55" i="1"/>
  <c r="OF56" i="1"/>
  <c r="OF57" i="1"/>
  <c r="OF58" i="1"/>
  <c r="OF59" i="1"/>
  <c r="OF60" i="1"/>
  <c r="OF61" i="1"/>
  <c r="OF62" i="1"/>
  <c r="OF63" i="1"/>
  <c r="OF64" i="1"/>
  <c r="OF65" i="1"/>
  <c r="OF66" i="1"/>
  <c r="OF67" i="1"/>
  <c r="OF68" i="1"/>
  <c r="OF69" i="1"/>
  <c r="OF70" i="1"/>
  <c r="OF71" i="1"/>
  <c r="OF72" i="1"/>
  <c r="OF73" i="1"/>
  <c r="OF74" i="1"/>
  <c r="OF75" i="1"/>
  <c r="OF76" i="1"/>
  <c r="OF77" i="1"/>
  <c r="OF78" i="1"/>
  <c r="OF79" i="1"/>
  <c r="OF80" i="1"/>
  <c r="OF81" i="1"/>
  <c r="OF82" i="1"/>
  <c r="OF83" i="1"/>
  <c r="OF84" i="1"/>
  <c r="OF85" i="1"/>
  <c r="OF86" i="1"/>
  <c r="OF87" i="1"/>
  <c r="OF88" i="1"/>
  <c r="OF89" i="1"/>
  <c r="OF90" i="1"/>
  <c r="OF91" i="1"/>
  <c r="OF92" i="1"/>
  <c r="OF93" i="1"/>
  <c r="OF94" i="1"/>
  <c r="OF95" i="1"/>
  <c r="OF96" i="1"/>
  <c r="OF97" i="1"/>
  <c r="OF98" i="1"/>
  <c r="OF99" i="1"/>
  <c r="OF100" i="1"/>
  <c r="OF101" i="1"/>
  <c r="OF102" i="1"/>
  <c r="OF103" i="1"/>
  <c r="OF104" i="1"/>
  <c r="OF105" i="1"/>
  <c r="OF106" i="1"/>
  <c r="OF107" i="1"/>
  <c r="OF108" i="1"/>
  <c r="OF109" i="1"/>
  <c r="OF15" i="1"/>
  <c r="OE59" i="1"/>
  <c r="OE41" i="1"/>
  <c r="OE37" i="1"/>
  <c r="OE33" i="1"/>
  <c r="OE29" i="1"/>
  <c r="OE27" i="1"/>
  <c r="OE23" i="1"/>
  <c r="NR59" i="1"/>
  <c r="NR41" i="1"/>
  <c r="NR37" i="1"/>
  <c r="NR33" i="1"/>
  <c r="NR29" i="1"/>
  <c r="NR27" i="1"/>
  <c r="NR23" i="1"/>
  <c r="KZ59" i="1"/>
  <c r="KZ41" i="1"/>
  <c r="KZ37" i="1"/>
  <c r="KZ33" i="1"/>
  <c r="KZ29" i="1"/>
  <c r="KZ27" i="1"/>
  <c r="KZ23" i="1"/>
  <c r="CY59" i="1"/>
  <c r="CY41" i="1"/>
  <c r="CY37" i="1"/>
  <c r="CY33" i="1"/>
  <c r="CY29" i="1"/>
  <c r="CY27" i="1"/>
  <c r="CY23" i="1"/>
  <c r="HC59" i="1"/>
  <c r="HC41" i="1"/>
  <c r="HC37" i="1"/>
  <c r="HC33" i="1"/>
  <c r="HC29" i="1"/>
  <c r="HC27" i="1"/>
  <c r="HC23" i="1"/>
  <c r="AA23" i="1"/>
  <c r="AA27" i="1"/>
  <c r="AA29" i="1"/>
  <c r="AA33" i="1"/>
  <c r="AA37" i="1"/>
  <c r="AA41" i="1"/>
  <c r="AA59" i="1"/>
  <c r="AB89" i="1"/>
  <c r="AB90" i="1"/>
  <c r="AB91" i="1"/>
  <c r="AB92" i="1"/>
  <c r="AB93" i="1"/>
  <c r="AB94" i="1"/>
  <c r="AB95" i="1"/>
  <c r="AB96" i="1"/>
  <c r="AB97" i="1"/>
  <c r="AB98" i="1"/>
  <c r="AB99" i="1"/>
  <c r="AB100" i="1"/>
  <c r="AB101" i="1"/>
  <c r="AB102" i="1"/>
  <c r="AB103" i="1"/>
  <c r="AB104" i="1"/>
  <c r="AB105" i="1"/>
  <c r="AB106" i="1"/>
  <c r="AB107" i="1"/>
  <c r="AB108" i="1"/>
  <c r="AB109" i="1"/>
  <c r="AA110" i="1" s="1"/>
  <c r="LD87" i="1"/>
  <c r="NS86" i="1"/>
  <c r="AF86" i="1"/>
  <c r="OE109" i="1" l="1"/>
  <c r="OE110" i="1"/>
  <c r="OE108" i="1"/>
  <c r="OR109" i="1"/>
  <c r="AA109" i="1"/>
  <c r="OR108" i="1"/>
  <c r="AA108" i="1"/>
  <c r="OE107" i="1"/>
  <c r="AA107" i="1"/>
  <c r="OE104" i="1"/>
  <c r="OR107" i="1"/>
  <c r="OE102" i="1"/>
  <c r="OE106" i="1"/>
  <c r="OE105" i="1"/>
  <c r="AA106" i="1"/>
  <c r="OR106" i="1"/>
  <c r="OR105" i="1"/>
  <c r="AA105" i="1"/>
  <c r="AA104" i="1"/>
  <c r="OE92" i="1"/>
  <c r="OR104" i="1"/>
  <c r="OE103" i="1"/>
  <c r="AA103" i="1"/>
  <c r="OR100" i="1"/>
  <c r="OR103" i="1"/>
  <c r="OE101" i="1"/>
  <c r="OR102" i="1"/>
  <c r="AA101" i="1"/>
  <c r="AA102" i="1"/>
  <c r="OR101" i="1"/>
  <c r="AA100" i="1"/>
  <c r="OE100" i="1"/>
  <c r="OE98" i="1"/>
  <c r="AA98" i="1"/>
  <c r="OE99" i="1"/>
  <c r="AA99" i="1"/>
  <c r="AA97" i="1"/>
  <c r="OE97" i="1"/>
  <c r="OR99" i="1"/>
  <c r="OR97" i="1"/>
  <c r="OE96" i="1"/>
  <c r="OR98" i="1"/>
  <c r="OE95" i="1"/>
  <c r="OE93" i="1"/>
  <c r="OE94" i="1"/>
  <c r="OR96" i="1"/>
  <c r="AA93" i="1"/>
  <c r="AA96" i="1"/>
  <c r="OR95" i="1"/>
  <c r="AA95" i="1"/>
  <c r="OR93" i="1"/>
  <c r="OR94" i="1"/>
  <c r="AA94" i="1"/>
  <c r="OR92" i="1"/>
  <c r="AA92" i="1"/>
  <c r="OE90" i="1"/>
  <c r="OR90" i="1"/>
  <c r="OR66" i="1"/>
  <c r="OR85" i="1"/>
  <c r="OR73" i="1"/>
  <c r="OR71" i="1"/>
  <c r="OR81" i="1"/>
  <c r="OR68" i="1"/>
  <c r="OE91" i="1"/>
  <c r="AA91" i="1"/>
  <c r="OR91" i="1"/>
  <c r="AA90" i="1"/>
  <c r="OR61" i="1"/>
  <c r="OR79" i="1"/>
  <c r="OR67" i="1"/>
  <c r="OR89" i="1"/>
  <c r="OR77" i="1"/>
  <c r="OR86" i="1"/>
  <c r="OR74" i="1"/>
  <c r="OR75" i="1"/>
  <c r="OR82" i="1"/>
  <c r="OR62" i="1"/>
  <c r="OR60" i="1"/>
  <c r="OR80" i="1"/>
  <c r="OR69" i="1"/>
  <c r="OR87" i="1"/>
  <c r="OE89" i="1"/>
  <c r="OR65" i="1"/>
  <c r="OR63" i="1"/>
  <c r="OR88" i="1"/>
  <c r="OR70" i="1"/>
  <c r="OR76" i="1"/>
  <c r="OR83" i="1"/>
  <c r="OR64" i="1"/>
  <c r="OR84" i="1"/>
  <c r="OR78" i="1"/>
  <c r="OR72" i="1"/>
  <c r="NS85" i="1"/>
  <c r="NS87" i="1"/>
  <c r="NR87" i="1" s="1"/>
  <c r="NS88" i="1"/>
  <c r="NS89" i="1"/>
  <c r="NS90" i="1"/>
  <c r="NS91" i="1"/>
  <c r="NS92" i="1"/>
  <c r="NS93" i="1"/>
  <c r="NS94" i="1"/>
  <c r="NS95" i="1"/>
  <c r="NS96" i="1"/>
  <c r="NS97" i="1"/>
  <c r="NS98" i="1"/>
  <c r="NS99" i="1"/>
  <c r="NS100" i="1"/>
  <c r="NS101" i="1"/>
  <c r="NS102" i="1"/>
  <c r="NS103" i="1"/>
  <c r="NS104" i="1"/>
  <c r="NS105" i="1"/>
  <c r="NS106" i="1"/>
  <c r="NS107" i="1"/>
  <c r="NS108" i="1"/>
  <c r="NS109" i="1"/>
  <c r="NR110" i="1" s="1"/>
  <c r="NS84" i="1"/>
  <c r="PA23" i="1"/>
  <c r="PA27" i="1"/>
  <c r="PA29" i="1"/>
  <c r="PA33" i="1"/>
  <c r="PA37" i="1"/>
  <c r="PA41" i="1"/>
  <c r="PA59" i="1"/>
  <c r="OV23" i="1"/>
  <c r="OV27" i="1"/>
  <c r="OV29" i="1"/>
  <c r="OV33" i="1"/>
  <c r="OV37" i="1"/>
  <c r="OV41" i="1"/>
  <c r="OV59" i="1"/>
  <c r="HG84" i="1"/>
  <c r="EX84" i="1"/>
  <c r="PJ29" i="1"/>
  <c r="NS83" i="1"/>
  <c r="OW17" i="1"/>
  <c r="OW18" i="1"/>
  <c r="OW19" i="1"/>
  <c r="OW20" i="1"/>
  <c r="OW21" i="1"/>
  <c r="OW22" i="1"/>
  <c r="OW23" i="1"/>
  <c r="OX23" i="1"/>
  <c r="OY23" i="1"/>
  <c r="OW24" i="1"/>
  <c r="OW25" i="1"/>
  <c r="OW26" i="1"/>
  <c r="OW27" i="1"/>
  <c r="OX27" i="1"/>
  <c r="OY27" i="1"/>
  <c r="OW28" i="1"/>
  <c r="OW30" i="1"/>
  <c r="OW31" i="1"/>
  <c r="OW32" i="1"/>
  <c r="OW33" i="1"/>
  <c r="OX33" i="1"/>
  <c r="OY33" i="1"/>
  <c r="OW34" i="1"/>
  <c r="OW35" i="1"/>
  <c r="OW36" i="1"/>
  <c r="OW37" i="1"/>
  <c r="OX37" i="1"/>
  <c r="OY37" i="1"/>
  <c r="OW38" i="1"/>
  <c r="OW39" i="1"/>
  <c r="OW40" i="1"/>
  <c r="OW41" i="1"/>
  <c r="OX41" i="1"/>
  <c r="OY41" i="1"/>
  <c r="OW42" i="1"/>
  <c r="OW43" i="1"/>
  <c r="OW44" i="1"/>
  <c r="OW45" i="1"/>
  <c r="OW46" i="1"/>
  <c r="OW47" i="1"/>
  <c r="OW48" i="1"/>
  <c r="OW49" i="1"/>
  <c r="OW50" i="1"/>
  <c r="OW51" i="1"/>
  <c r="OW52" i="1"/>
  <c r="OW53" i="1"/>
  <c r="OW54" i="1"/>
  <c r="OW55" i="1"/>
  <c r="OW56" i="1"/>
  <c r="OW57" i="1"/>
  <c r="OW58" i="1"/>
  <c r="OW59" i="1"/>
  <c r="OX59" i="1"/>
  <c r="OY59" i="1"/>
  <c r="OW60" i="1"/>
  <c r="OW61" i="1"/>
  <c r="OW62" i="1"/>
  <c r="OX62" i="1" s="1"/>
  <c r="OW63" i="1"/>
  <c r="OW64" i="1"/>
  <c r="OW65" i="1"/>
  <c r="OW66" i="1"/>
  <c r="OW67" i="1"/>
  <c r="OW68" i="1"/>
  <c r="OW69" i="1"/>
  <c r="OW70" i="1"/>
  <c r="OW71" i="1"/>
  <c r="OW72" i="1"/>
  <c r="OW73" i="1"/>
  <c r="OW74" i="1"/>
  <c r="OW75" i="1"/>
  <c r="OW76" i="1"/>
  <c r="OW77" i="1"/>
  <c r="OW78" i="1"/>
  <c r="OW79" i="1"/>
  <c r="OW80" i="1"/>
  <c r="OW81" i="1"/>
  <c r="OW82" i="1"/>
  <c r="OW83" i="1"/>
  <c r="OW84" i="1"/>
  <c r="OW85" i="1"/>
  <c r="OW86" i="1"/>
  <c r="OW87" i="1"/>
  <c r="OW88" i="1"/>
  <c r="OW89" i="1"/>
  <c r="OW90" i="1"/>
  <c r="OW91" i="1"/>
  <c r="OW92" i="1"/>
  <c r="OW93" i="1"/>
  <c r="OW94" i="1"/>
  <c r="OW95" i="1"/>
  <c r="OW96" i="1"/>
  <c r="OW97" i="1"/>
  <c r="OW98" i="1"/>
  <c r="OW99" i="1"/>
  <c r="OW100" i="1"/>
  <c r="OW101" i="1"/>
  <c r="OW102" i="1"/>
  <c r="OW103" i="1"/>
  <c r="OW104" i="1"/>
  <c r="OW105" i="1"/>
  <c r="OW106" i="1"/>
  <c r="OW107" i="1"/>
  <c r="OW108" i="1"/>
  <c r="OW109" i="1"/>
  <c r="HG81" i="1"/>
  <c r="EX80" i="1"/>
  <c r="AE80" i="1"/>
  <c r="HG77" i="1"/>
  <c r="NS77" i="1"/>
  <c r="NS16" i="1"/>
  <c r="NS17" i="1"/>
  <c r="NS18" i="1"/>
  <c r="NS19" i="1"/>
  <c r="NS20" i="1"/>
  <c r="NS21" i="1"/>
  <c r="NS22" i="1"/>
  <c r="NS23" i="1"/>
  <c r="NS24" i="1"/>
  <c r="NS25" i="1"/>
  <c r="NS26" i="1"/>
  <c r="NS27" i="1"/>
  <c r="NS28" i="1"/>
  <c r="NS29" i="1"/>
  <c r="NS30" i="1"/>
  <c r="NS31" i="1"/>
  <c r="NS32" i="1"/>
  <c r="NS33" i="1"/>
  <c r="NS34" i="1"/>
  <c r="NS35" i="1"/>
  <c r="NS36" i="1"/>
  <c r="NS37" i="1"/>
  <c r="NS38" i="1"/>
  <c r="NS39" i="1"/>
  <c r="NS40" i="1"/>
  <c r="NS41" i="1"/>
  <c r="NS42" i="1"/>
  <c r="NS43" i="1"/>
  <c r="NS44" i="1"/>
  <c r="NS45" i="1"/>
  <c r="NS46" i="1"/>
  <c r="NS47" i="1"/>
  <c r="NS48" i="1"/>
  <c r="NS49" i="1"/>
  <c r="NS50" i="1"/>
  <c r="NS51" i="1"/>
  <c r="NS52" i="1"/>
  <c r="NS53" i="1"/>
  <c r="NS54" i="1"/>
  <c r="NS55" i="1"/>
  <c r="NS56" i="1"/>
  <c r="NS57" i="1"/>
  <c r="NS58" i="1"/>
  <c r="NS59" i="1"/>
  <c r="NS60" i="1"/>
  <c r="NS61" i="1"/>
  <c r="NS62" i="1"/>
  <c r="NS63" i="1"/>
  <c r="NS64" i="1"/>
  <c r="NS65" i="1"/>
  <c r="NS66" i="1"/>
  <c r="NS67" i="1"/>
  <c r="NS68" i="1"/>
  <c r="NS69" i="1"/>
  <c r="NS70" i="1"/>
  <c r="NS71" i="1"/>
  <c r="NS72" i="1"/>
  <c r="NS73" i="1"/>
  <c r="NS74" i="1"/>
  <c r="NS75" i="1"/>
  <c r="NS76" i="1"/>
  <c r="NS78" i="1"/>
  <c r="NS79" i="1"/>
  <c r="NS80" i="1"/>
  <c r="NS81" i="1"/>
  <c r="NS82" i="1"/>
  <c r="NS15" i="1"/>
  <c r="AE76" i="1"/>
  <c r="NR109" i="1" l="1"/>
  <c r="NR108" i="1"/>
  <c r="NR107" i="1"/>
  <c r="NR106" i="1"/>
  <c r="NR105" i="1"/>
  <c r="NR104" i="1"/>
  <c r="NR103" i="1"/>
  <c r="NR102" i="1"/>
  <c r="NR101" i="1"/>
  <c r="NR97" i="1"/>
  <c r="NR100" i="1"/>
  <c r="NR98" i="1"/>
  <c r="NR99" i="1"/>
  <c r="NR95" i="1"/>
  <c r="NR94" i="1"/>
  <c r="NR96" i="1"/>
  <c r="NR93" i="1"/>
  <c r="NR92" i="1"/>
  <c r="NR91" i="1"/>
  <c r="NR90" i="1"/>
  <c r="NR89" i="1"/>
  <c r="NR81" i="1"/>
  <c r="NR68" i="1"/>
  <c r="NR56" i="1"/>
  <c r="NR44" i="1"/>
  <c r="NR32" i="1"/>
  <c r="NR20" i="1"/>
  <c r="NR79" i="1"/>
  <c r="NR66" i="1"/>
  <c r="NR54" i="1"/>
  <c r="NR42" i="1"/>
  <c r="NR30" i="1"/>
  <c r="NR18" i="1"/>
  <c r="NR75" i="1"/>
  <c r="NR63" i="1"/>
  <c r="NR51" i="1"/>
  <c r="NR39" i="1"/>
  <c r="NR77" i="1"/>
  <c r="NR25" i="1"/>
  <c r="NR72" i="1"/>
  <c r="NR60" i="1"/>
  <c r="NR48" i="1"/>
  <c r="NR36" i="1"/>
  <c r="NR24" i="1"/>
  <c r="NR88" i="1"/>
  <c r="NR80" i="1"/>
  <c r="NR67" i="1"/>
  <c r="NR55" i="1"/>
  <c r="NR43" i="1"/>
  <c r="NR31" i="1"/>
  <c r="NR19" i="1"/>
  <c r="NR84" i="1"/>
  <c r="NR78" i="1"/>
  <c r="NR65" i="1"/>
  <c r="NR53" i="1"/>
  <c r="NR17" i="1"/>
  <c r="NR76" i="1"/>
  <c r="NR64" i="1"/>
  <c r="NR52" i="1"/>
  <c r="NR40" i="1"/>
  <c r="NR28" i="1"/>
  <c r="NR74" i="1"/>
  <c r="NR62" i="1"/>
  <c r="NR50" i="1"/>
  <c r="NR38" i="1"/>
  <c r="NR26" i="1"/>
  <c r="NR73" i="1"/>
  <c r="NR61" i="1"/>
  <c r="NR49" i="1"/>
  <c r="NR71" i="1"/>
  <c r="NR47" i="1"/>
  <c r="NR35" i="1"/>
  <c r="NR70" i="1"/>
  <c r="NR58" i="1"/>
  <c r="NR46" i="1"/>
  <c r="NR34" i="1"/>
  <c r="NR22" i="1"/>
  <c r="NR83" i="1"/>
  <c r="NR82" i="1"/>
  <c r="NR69" i="1"/>
  <c r="NR57" i="1"/>
  <c r="NR45" i="1"/>
  <c r="NR21" i="1"/>
  <c r="NR85" i="1"/>
  <c r="NR86" i="1"/>
  <c r="EX76" i="1"/>
  <c r="HG75" i="1"/>
  <c r="HG74" i="1"/>
  <c r="AF74" i="1"/>
  <c r="AF73" i="1"/>
  <c r="HG72" i="1"/>
  <c r="AF72" i="1"/>
  <c r="HG71" i="1" l="1"/>
  <c r="CZ71" i="1"/>
  <c r="EX71" i="1"/>
  <c r="HG66" i="1" l="1"/>
  <c r="EX66" i="1"/>
  <c r="AF66" i="1"/>
  <c r="AE66" i="1"/>
  <c r="HD62" i="1" l="1"/>
  <c r="HG58" i="1" l="1"/>
  <c r="EX58" i="1"/>
  <c r="OU59" i="1" l="1"/>
  <c r="HG55" i="1" l="1"/>
  <c r="EX55" i="1"/>
  <c r="EX54" i="1" l="1"/>
  <c r="Y52" i="1" l="1"/>
  <c r="EX52" i="1" l="1"/>
  <c r="HG51" i="1" l="1"/>
  <c r="EX51" i="1"/>
  <c r="EX50" i="1" l="1"/>
  <c r="EX49" i="1" l="1"/>
  <c r="EX46" i="1" l="1"/>
  <c r="Y46" i="1"/>
  <c r="EX45" i="1" l="1"/>
  <c r="Y45" i="1"/>
  <c r="PP29" i="1" l="1"/>
  <c r="PO29" i="1"/>
  <c r="HG43" i="1" l="1"/>
  <c r="EX43" i="1"/>
  <c r="LA40" i="1" l="1"/>
  <c r="EX40" i="1"/>
  <c r="HG36" i="1" l="1"/>
  <c r="EX35" i="1" l="1"/>
  <c r="HG31" i="1" l="1"/>
  <c r="EX30" i="1" l="1"/>
  <c r="PB30" i="1" l="1"/>
  <c r="PB31" i="1"/>
  <c r="PB32" i="1"/>
  <c r="PB33" i="1"/>
  <c r="PB34" i="1"/>
  <c r="PB35" i="1"/>
  <c r="PB36" i="1"/>
  <c r="PB37" i="1"/>
  <c r="PB38" i="1"/>
  <c r="PB39" i="1"/>
  <c r="PB40" i="1"/>
  <c r="PB41" i="1"/>
  <c r="PB42" i="1"/>
  <c r="PB43" i="1"/>
  <c r="PB44" i="1"/>
  <c r="PB45" i="1"/>
  <c r="PB46" i="1"/>
  <c r="PB47" i="1"/>
  <c r="PB48" i="1"/>
  <c r="PB49" i="1"/>
  <c r="PB50" i="1"/>
  <c r="PB51" i="1"/>
  <c r="PB52" i="1"/>
  <c r="PB53" i="1"/>
  <c r="PB54" i="1"/>
  <c r="PB55" i="1"/>
  <c r="PB56" i="1"/>
  <c r="PB57" i="1"/>
  <c r="PB58" i="1"/>
  <c r="PB59" i="1"/>
  <c r="PB60" i="1"/>
  <c r="PB61" i="1"/>
  <c r="PB62" i="1"/>
  <c r="PB63" i="1"/>
  <c r="PB64" i="1"/>
  <c r="PB65" i="1"/>
  <c r="PB66" i="1"/>
  <c r="PB67" i="1"/>
  <c r="PB68" i="1"/>
  <c r="PB69" i="1"/>
  <c r="PB70" i="1"/>
  <c r="PB71" i="1"/>
  <c r="PB72" i="1"/>
  <c r="PB73" i="1"/>
  <c r="PB74" i="1"/>
  <c r="PB75" i="1"/>
  <c r="PB76" i="1"/>
  <c r="PB77" i="1"/>
  <c r="PB78" i="1"/>
  <c r="PB79" i="1"/>
  <c r="PB80" i="1"/>
  <c r="PB81" i="1"/>
  <c r="PB82" i="1"/>
  <c r="PB83" i="1"/>
  <c r="PB84" i="1"/>
  <c r="PB85" i="1"/>
  <c r="PB86" i="1"/>
  <c r="PB87" i="1"/>
  <c r="PB88" i="1"/>
  <c r="PB89" i="1"/>
  <c r="PB90" i="1"/>
  <c r="PB91" i="1"/>
  <c r="PB92" i="1"/>
  <c r="PB93" i="1"/>
  <c r="PB94" i="1"/>
  <c r="PB95" i="1"/>
  <c r="PB96" i="1"/>
  <c r="PB97" i="1"/>
  <c r="PB98" i="1"/>
  <c r="PB99" i="1"/>
  <c r="PB100" i="1"/>
  <c r="PB101" i="1"/>
  <c r="PB102" i="1"/>
  <c r="PB103" i="1"/>
  <c r="PB104" i="1"/>
  <c r="PB105" i="1"/>
  <c r="PB106" i="1"/>
  <c r="PB107" i="1"/>
  <c r="PB108" i="1"/>
  <c r="PB109" i="1"/>
  <c r="PB27" i="1"/>
  <c r="PB26" i="1"/>
  <c r="PB25" i="1"/>
  <c r="PB24" i="1"/>
  <c r="PB23" i="1"/>
  <c r="PB22" i="1"/>
  <c r="PB21" i="1"/>
  <c r="PB20" i="1"/>
  <c r="PB19" i="1"/>
  <c r="PB18" i="1"/>
  <c r="PB17" i="1"/>
  <c r="PB28" i="1"/>
  <c r="Y20" i="1" l="1"/>
  <c r="Y22" i="1"/>
  <c r="AB22" i="1"/>
  <c r="Y23" i="1"/>
  <c r="AB23" i="1"/>
  <c r="Y24" i="1"/>
  <c r="AB24" i="1"/>
  <c r="Y25" i="1"/>
  <c r="AB25" i="1"/>
  <c r="Y26" i="1"/>
  <c r="AB26" i="1"/>
  <c r="Y27" i="1"/>
  <c r="AB27" i="1"/>
  <c r="Y28" i="1"/>
  <c r="AB28" i="1"/>
  <c r="AB30" i="1"/>
  <c r="AA30" i="1" s="1"/>
  <c r="AB31" i="1"/>
  <c r="AB32" i="1"/>
  <c r="AB33" i="1"/>
  <c r="AB34" i="1"/>
  <c r="AB35" i="1"/>
  <c r="AB36" i="1"/>
  <c r="AB37" i="1"/>
  <c r="Y38" i="1"/>
  <c r="AB38" i="1"/>
  <c r="Y39" i="1"/>
  <c r="AB39" i="1"/>
  <c r="Y40" i="1"/>
  <c r="AB40" i="1"/>
  <c r="Y41" i="1"/>
  <c r="AB41" i="1"/>
  <c r="Y42" i="1"/>
  <c r="AB42" i="1"/>
  <c r="Y43" i="1"/>
  <c r="AB43" i="1"/>
  <c r="Y44" i="1"/>
  <c r="AB44" i="1"/>
  <c r="AB45" i="1"/>
  <c r="AB46" i="1"/>
  <c r="Y47" i="1"/>
  <c r="AB47" i="1"/>
  <c r="AB48" i="1"/>
  <c r="Y49" i="1"/>
  <c r="AB49" i="1"/>
  <c r="Y50" i="1"/>
  <c r="AB50" i="1"/>
  <c r="Y51" i="1"/>
  <c r="AB51" i="1"/>
  <c r="AB52" i="1"/>
  <c r="Y53" i="1"/>
  <c r="AB53" i="1"/>
  <c r="Y54" i="1"/>
  <c r="AB54" i="1"/>
  <c r="Y55" i="1"/>
  <c r="AB55" i="1"/>
  <c r="Y56" i="1"/>
  <c r="AB56" i="1"/>
  <c r="Y57" i="1"/>
  <c r="AB57" i="1"/>
  <c r="Y58" i="1"/>
  <c r="AB58" i="1"/>
  <c r="Y59" i="1"/>
  <c r="AB59" i="1"/>
  <c r="Y60" i="1"/>
  <c r="AB60" i="1"/>
  <c r="Y61" i="1"/>
  <c r="AB61" i="1"/>
  <c r="Y62" i="1"/>
  <c r="Y63" i="1"/>
  <c r="AB63" i="1"/>
  <c r="AA63" i="1" s="1"/>
  <c r="AB64" i="1"/>
  <c r="Y65" i="1"/>
  <c r="AB65" i="1"/>
  <c r="Y66" i="1"/>
  <c r="AB66" i="1"/>
  <c r="Y67" i="1"/>
  <c r="AB67" i="1"/>
  <c r="Y68" i="1"/>
  <c r="AB68" i="1"/>
  <c r="Y69" i="1"/>
  <c r="AB69" i="1"/>
  <c r="Y70" i="1"/>
  <c r="AB70" i="1"/>
  <c r="AB71" i="1"/>
  <c r="Y72" i="1"/>
  <c r="AB72" i="1"/>
  <c r="Y73" i="1"/>
  <c r="AB73" i="1"/>
  <c r="Y74" i="1"/>
  <c r="AB74" i="1"/>
  <c r="Y75" i="1"/>
  <c r="AB75" i="1"/>
  <c r="Y76" i="1"/>
  <c r="AB76" i="1"/>
  <c r="Y77" i="1"/>
  <c r="AB77" i="1"/>
  <c r="Y78" i="1"/>
  <c r="AB78" i="1"/>
  <c r="Y79" i="1"/>
  <c r="AB79" i="1"/>
  <c r="Y80" i="1"/>
  <c r="AB80" i="1"/>
  <c r="Y81" i="1"/>
  <c r="AB81" i="1"/>
  <c r="Y82" i="1"/>
  <c r="AB82" i="1"/>
  <c r="Y83" i="1"/>
  <c r="AB83" i="1"/>
  <c r="Y84" i="1"/>
  <c r="AB84" i="1"/>
  <c r="Y85" i="1"/>
  <c r="AB85" i="1"/>
  <c r="Y86" i="1"/>
  <c r="AB86" i="1"/>
  <c r="Y87" i="1"/>
  <c r="AB87" i="1"/>
  <c r="Y88" i="1"/>
  <c r="AB88" i="1"/>
  <c r="AA89" i="1" s="1"/>
  <c r="Y89" i="1"/>
  <c r="Y90" i="1"/>
  <c r="Y91" i="1"/>
  <c r="Y92" i="1"/>
  <c r="Y93" i="1"/>
  <c r="Y94" i="1"/>
  <c r="Y95" i="1"/>
  <c r="Y96" i="1"/>
  <c r="Y97" i="1"/>
  <c r="Y98" i="1"/>
  <c r="Y99" i="1"/>
  <c r="Y100" i="1"/>
  <c r="Y101" i="1"/>
  <c r="Y102" i="1"/>
  <c r="Y103" i="1"/>
  <c r="Y104" i="1"/>
  <c r="Y105" i="1"/>
  <c r="Y106" i="1"/>
  <c r="Y107" i="1"/>
  <c r="Y108" i="1"/>
  <c r="Y109" i="1"/>
  <c r="Y21" i="1"/>
  <c r="AA76" i="1" l="1"/>
  <c r="AA50" i="1"/>
  <c r="AA52" i="1"/>
  <c r="AA67" i="1"/>
  <c r="AA60" i="1"/>
  <c r="AA54" i="1"/>
  <c r="AA47" i="1"/>
  <c r="AA40" i="1"/>
  <c r="AA73" i="1"/>
  <c r="AA65" i="1"/>
  <c r="AA58" i="1"/>
  <c r="AA44" i="1"/>
  <c r="AA31" i="1"/>
  <c r="AA46" i="1"/>
  <c r="AA64" i="1"/>
  <c r="AA35" i="1"/>
  <c r="AA86" i="1"/>
  <c r="AA80" i="1"/>
  <c r="AA74" i="1"/>
  <c r="AA48" i="1"/>
  <c r="AA32" i="1"/>
  <c r="AA85" i="1"/>
  <c r="AA79" i="1"/>
  <c r="AA38" i="1"/>
  <c r="AA70" i="1"/>
  <c r="AA57" i="1"/>
  <c r="AA26" i="1"/>
  <c r="AA82" i="1"/>
  <c r="AA83" i="1"/>
  <c r="AA77" i="1"/>
  <c r="AA88" i="1"/>
  <c r="AA68" i="1"/>
  <c r="AA61" i="1"/>
  <c r="AA62" i="1"/>
  <c r="AA55" i="1"/>
  <c r="AA24" i="1"/>
  <c r="AA66" i="1"/>
  <c r="AA53" i="1"/>
  <c r="AA39" i="1"/>
  <c r="AA28" i="1"/>
  <c r="AA84" i="1"/>
  <c r="AA78" i="1"/>
  <c r="AA72" i="1"/>
  <c r="AA45" i="1"/>
  <c r="AA71" i="1"/>
  <c r="AA51" i="1"/>
  <c r="AA43" i="1"/>
  <c r="AA36" i="1"/>
  <c r="AA69" i="1"/>
  <c r="AA56" i="1"/>
  <c r="AA42" i="1"/>
  <c r="AA25" i="1"/>
  <c r="AA87" i="1"/>
  <c r="AA81" i="1"/>
  <c r="AA75" i="1"/>
  <c r="AA49" i="1"/>
  <c r="AA34" i="1"/>
  <c r="HG26" i="1"/>
  <c r="LA26" i="1" s="1"/>
  <c r="AE26" i="1"/>
  <c r="CZ26" i="1" s="1"/>
  <c r="EX26" i="1"/>
  <c r="HD26" i="1" s="1"/>
  <c r="HG25" i="1"/>
  <c r="LA25" i="1" s="1"/>
  <c r="AE25" i="1"/>
  <c r="HD25" i="1" s="1"/>
  <c r="AF25" i="1"/>
  <c r="PL23" i="1"/>
  <c r="PM23" i="1"/>
  <c r="PL59" i="1"/>
  <c r="PM59" i="1"/>
  <c r="PL78" i="1"/>
  <c r="PL79" i="1"/>
  <c r="PL80" i="1"/>
  <c r="PL81" i="1"/>
  <c r="PL82" i="1"/>
  <c r="PL83" i="1"/>
  <c r="PL84" i="1"/>
  <c r="PL85" i="1"/>
  <c r="PL86" i="1"/>
  <c r="PL87" i="1"/>
  <c r="PL88" i="1"/>
  <c r="PL89" i="1"/>
  <c r="PL90" i="1"/>
  <c r="PL91" i="1"/>
  <c r="PL92" i="1"/>
  <c r="PL93" i="1"/>
  <c r="PL94" i="1"/>
  <c r="PL95" i="1"/>
  <c r="PL96" i="1"/>
  <c r="PL97" i="1"/>
  <c r="PL98" i="1"/>
  <c r="PL99" i="1"/>
  <c r="PL100" i="1"/>
  <c r="PL101" i="1"/>
  <c r="PL102" i="1"/>
  <c r="PL103" i="1"/>
  <c r="PL104" i="1"/>
  <c r="PL105" i="1"/>
  <c r="PL106" i="1"/>
  <c r="PL107" i="1"/>
  <c r="PL108" i="1"/>
  <c r="PL109" i="1"/>
  <c r="PC23" i="1"/>
  <c r="PD23" i="1"/>
  <c r="PI23" i="1"/>
  <c r="PJ23" i="1" s="1"/>
  <c r="PN23" i="1"/>
  <c r="PC59" i="1"/>
  <c r="PD59" i="1"/>
  <c r="PI59" i="1"/>
  <c r="PJ59" i="1" s="1"/>
  <c r="PN59" i="1"/>
  <c r="AF19" i="1"/>
  <c r="PL18" i="1"/>
  <c r="PL19" i="1"/>
  <c r="PL21" i="1"/>
  <c r="PL22" i="1"/>
  <c r="PL25" i="1"/>
  <c r="PL26" i="1"/>
  <c r="PL28" i="1"/>
  <c r="PL30" i="1"/>
  <c r="PL31" i="1"/>
  <c r="PL32" i="1"/>
  <c r="PL33" i="1"/>
  <c r="PL34" i="1"/>
  <c r="PL35" i="1"/>
  <c r="PL36" i="1"/>
  <c r="PL37" i="1"/>
  <c r="PL38" i="1"/>
  <c r="PL39" i="1"/>
  <c r="PL40" i="1"/>
  <c r="PL41" i="1"/>
  <c r="PL42" i="1"/>
  <c r="PL43" i="1"/>
  <c r="PL44" i="1"/>
  <c r="PL45" i="1"/>
  <c r="PL46" i="1"/>
  <c r="PL47" i="1"/>
  <c r="PL48" i="1"/>
  <c r="PL49" i="1"/>
  <c r="PL50" i="1"/>
  <c r="PL51" i="1"/>
  <c r="PL52" i="1"/>
  <c r="PL53" i="1"/>
  <c r="PL54" i="1"/>
  <c r="PL55" i="1"/>
  <c r="PL56" i="1"/>
  <c r="PL57" i="1"/>
  <c r="PL58" i="1"/>
  <c r="PL60" i="1"/>
  <c r="PL61" i="1"/>
  <c r="PL62" i="1"/>
  <c r="PL63" i="1"/>
  <c r="PL64" i="1"/>
  <c r="PL65" i="1"/>
  <c r="PL66" i="1"/>
  <c r="PL67" i="1"/>
  <c r="PL68" i="1"/>
  <c r="PL69" i="1"/>
  <c r="PL70" i="1"/>
  <c r="PL71" i="1"/>
  <c r="PL72" i="1"/>
  <c r="PL73" i="1"/>
  <c r="PL74" i="1"/>
  <c r="PL75" i="1"/>
  <c r="PL76" i="1"/>
  <c r="PL77" i="1"/>
  <c r="HG24" i="1"/>
  <c r="LA24" i="1" s="1"/>
  <c r="KZ24" i="1" s="1"/>
  <c r="EX24" i="1"/>
  <c r="HD24" i="1" s="1"/>
  <c r="HC24" i="1" s="1"/>
  <c r="EX22" i="1"/>
  <c r="HD22" i="1" s="1"/>
  <c r="EX21" i="1"/>
  <c r="HD21" i="1" s="1"/>
  <c r="EX20" i="1"/>
  <c r="HD20" i="1" s="1"/>
  <c r="AE19" i="1"/>
  <c r="EX19" i="1"/>
  <c r="EX18" i="1"/>
  <c r="HD18" i="1" s="1"/>
  <c r="AB16" i="1"/>
  <c r="AB17" i="1"/>
  <c r="AB18" i="1"/>
  <c r="AB19" i="1"/>
  <c r="AB20" i="1"/>
  <c r="AB21" i="1"/>
  <c r="HD16" i="1"/>
  <c r="HD27" i="1"/>
  <c r="HD28" i="1"/>
  <c r="HD30" i="1"/>
  <c r="HC30" i="1" s="1"/>
  <c r="HD31" i="1"/>
  <c r="HD32" i="1"/>
  <c r="HD33" i="1"/>
  <c r="PC33" i="1" s="1"/>
  <c r="PD33" i="1" s="1"/>
  <c r="HD34" i="1"/>
  <c r="HD35" i="1"/>
  <c r="HD36" i="1"/>
  <c r="HD37" i="1"/>
  <c r="PC37" i="1" s="1"/>
  <c r="PD37" i="1" s="1"/>
  <c r="HD38" i="1"/>
  <c r="HD39" i="1"/>
  <c r="HD40" i="1"/>
  <c r="HD41" i="1"/>
  <c r="PC41" i="1" s="1"/>
  <c r="PD41" i="1" s="1"/>
  <c r="HD42" i="1"/>
  <c r="HD43" i="1"/>
  <c r="HD44" i="1"/>
  <c r="HD45" i="1"/>
  <c r="HD46" i="1"/>
  <c r="HD47" i="1"/>
  <c r="HD48" i="1"/>
  <c r="HD49" i="1"/>
  <c r="HD50" i="1"/>
  <c r="HD51" i="1"/>
  <c r="HD52" i="1"/>
  <c r="HD53" i="1"/>
  <c r="HD54" i="1"/>
  <c r="HD55" i="1"/>
  <c r="HD56" i="1"/>
  <c r="HD57" i="1"/>
  <c r="HD58" i="1"/>
  <c r="HD59" i="1"/>
  <c r="HD60" i="1"/>
  <c r="HD61" i="1"/>
  <c r="HD63" i="1"/>
  <c r="HC63" i="1" s="1"/>
  <c r="HD64" i="1"/>
  <c r="HD65" i="1"/>
  <c r="HD66" i="1"/>
  <c r="HD67" i="1"/>
  <c r="HD68" i="1"/>
  <c r="HD69" i="1"/>
  <c r="HD70" i="1"/>
  <c r="HD71" i="1"/>
  <c r="HD72" i="1"/>
  <c r="HD73" i="1"/>
  <c r="HD74" i="1"/>
  <c r="HD75" i="1"/>
  <c r="HD76" i="1"/>
  <c r="HD77" i="1"/>
  <c r="HD78" i="1"/>
  <c r="HD79" i="1"/>
  <c r="HD80" i="1"/>
  <c r="HD81" i="1"/>
  <c r="HD82" i="1"/>
  <c r="HD83" i="1"/>
  <c r="HD84" i="1"/>
  <c r="HD85" i="1"/>
  <c r="HD86" i="1"/>
  <c r="HD87" i="1"/>
  <c r="HD88" i="1"/>
  <c r="HD89" i="1"/>
  <c r="HD90" i="1"/>
  <c r="HD91" i="1"/>
  <c r="HD92" i="1"/>
  <c r="HD93" i="1"/>
  <c r="HD94" i="1"/>
  <c r="HD96" i="1"/>
  <c r="HD97" i="1"/>
  <c r="HD98" i="1"/>
  <c r="HD99" i="1"/>
  <c r="HD100" i="1"/>
  <c r="HD101" i="1"/>
  <c r="HD102" i="1"/>
  <c r="HD103" i="1"/>
  <c r="HD104" i="1"/>
  <c r="HD106" i="1"/>
  <c r="HD107" i="1"/>
  <c r="HD108" i="1"/>
  <c r="HD109" i="1"/>
  <c r="HC110" i="1" s="1"/>
  <c r="CZ16" i="1"/>
  <c r="CZ17" i="1"/>
  <c r="CZ18" i="1"/>
  <c r="CZ20" i="1"/>
  <c r="CZ21" i="1"/>
  <c r="CZ22" i="1"/>
  <c r="CZ24" i="1"/>
  <c r="CY24" i="1" s="1"/>
  <c r="CZ27" i="1"/>
  <c r="CZ28" i="1"/>
  <c r="CZ30" i="1"/>
  <c r="CY30" i="1" s="1"/>
  <c r="CZ31" i="1"/>
  <c r="CZ32" i="1"/>
  <c r="CZ33" i="1"/>
  <c r="OU33" i="1" s="1"/>
  <c r="CZ34" i="1"/>
  <c r="CZ35" i="1"/>
  <c r="CZ36" i="1"/>
  <c r="CZ37" i="1"/>
  <c r="CZ38" i="1"/>
  <c r="CZ39" i="1"/>
  <c r="CZ40" i="1"/>
  <c r="CZ41" i="1"/>
  <c r="OU41" i="1" s="1"/>
  <c r="PI41" i="1" s="1"/>
  <c r="PJ41" i="1" s="1"/>
  <c r="CZ42" i="1"/>
  <c r="CZ43" i="1"/>
  <c r="CZ44" i="1"/>
  <c r="CZ45" i="1"/>
  <c r="CZ46" i="1"/>
  <c r="CZ47" i="1"/>
  <c r="CZ48" i="1"/>
  <c r="CZ49" i="1"/>
  <c r="CZ50" i="1"/>
  <c r="CZ51" i="1"/>
  <c r="CZ52" i="1"/>
  <c r="CZ53" i="1"/>
  <c r="CZ54" i="1"/>
  <c r="CZ55" i="1"/>
  <c r="CZ56" i="1"/>
  <c r="CZ57" i="1"/>
  <c r="CZ58" i="1"/>
  <c r="CZ59" i="1"/>
  <c r="CZ60" i="1"/>
  <c r="CZ61" i="1"/>
  <c r="CZ63" i="1"/>
  <c r="CY63" i="1" s="1"/>
  <c r="CZ64" i="1"/>
  <c r="CZ65" i="1"/>
  <c r="CZ66" i="1"/>
  <c r="CZ67" i="1"/>
  <c r="CZ68" i="1"/>
  <c r="CZ69" i="1"/>
  <c r="CZ70" i="1"/>
  <c r="CZ72" i="1"/>
  <c r="CY72" i="1" s="1"/>
  <c r="CZ73" i="1"/>
  <c r="CZ74" i="1"/>
  <c r="CZ75" i="1"/>
  <c r="CZ76" i="1"/>
  <c r="CZ77" i="1"/>
  <c r="PG77" i="1" s="1"/>
  <c r="CZ78" i="1"/>
  <c r="CZ79" i="1"/>
  <c r="PG79" i="1" s="1"/>
  <c r="CZ80" i="1"/>
  <c r="PG80" i="1" s="1"/>
  <c r="CZ81" i="1"/>
  <c r="CZ82" i="1"/>
  <c r="PG82" i="1" s="1"/>
  <c r="CZ83" i="1"/>
  <c r="PG83" i="1" s="1"/>
  <c r="CZ84" i="1"/>
  <c r="CZ85" i="1"/>
  <c r="PG85" i="1" s="1"/>
  <c r="CZ86" i="1"/>
  <c r="PG86" i="1" s="1"/>
  <c r="CZ87" i="1"/>
  <c r="PG87" i="1" s="1"/>
  <c r="CZ88" i="1"/>
  <c r="PG88" i="1" s="1"/>
  <c r="CZ89" i="1"/>
  <c r="PG89" i="1" s="1"/>
  <c r="CZ90" i="1"/>
  <c r="CZ91" i="1"/>
  <c r="CZ92" i="1"/>
  <c r="CZ93" i="1"/>
  <c r="CZ94" i="1"/>
  <c r="CZ95" i="1"/>
  <c r="CZ96" i="1"/>
  <c r="CZ97" i="1"/>
  <c r="CZ98" i="1"/>
  <c r="CZ99" i="1"/>
  <c r="CZ100" i="1"/>
  <c r="CZ101" i="1"/>
  <c r="CZ102" i="1"/>
  <c r="CZ103" i="1"/>
  <c r="CZ104" i="1"/>
  <c r="CZ105" i="1"/>
  <c r="CZ106" i="1"/>
  <c r="CZ107" i="1"/>
  <c r="CZ108" i="1"/>
  <c r="CZ109" i="1"/>
  <c r="CY110" i="1" s="1"/>
  <c r="LA16" i="1"/>
  <c r="LA17" i="1"/>
  <c r="LA18" i="1"/>
  <c r="LA19" i="1"/>
  <c r="LA20" i="1"/>
  <c r="LA21" i="1"/>
  <c r="LA22" i="1"/>
  <c r="LA27" i="1"/>
  <c r="LA28" i="1"/>
  <c r="LA30" i="1"/>
  <c r="KZ30" i="1" s="1"/>
  <c r="LA31" i="1"/>
  <c r="LA32" i="1"/>
  <c r="LA33" i="1"/>
  <c r="LA34" i="1"/>
  <c r="LA35" i="1"/>
  <c r="LA36" i="1"/>
  <c r="LA37" i="1"/>
  <c r="LA38" i="1"/>
  <c r="LA39" i="1"/>
  <c r="LA41" i="1"/>
  <c r="LA42" i="1"/>
  <c r="LA43" i="1"/>
  <c r="LA44" i="1"/>
  <c r="LA45" i="1"/>
  <c r="LA46" i="1"/>
  <c r="LA47" i="1"/>
  <c r="LA48" i="1"/>
  <c r="LA49" i="1"/>
  <c r="LA50" i="1"/>
  <c r="LA51" i="1"/>
  <c r="LA52" i="1"/>
  <c r="LA53" i="1"/>
  <c r="LA54" i="1"/>
  <c r="LA55" i="1"/>
  <c r="LA56" i="1"/>
  <c r="LA57" i="1"/>
  <c r="LA58" i="1"/>
  <c r="LA59" i="1"/>
  <c r="LA60" i="1"/>
  <c r="LA61" i="1"/>
  <c r="PC62" i="1"/>
  <c r="LA63" i="1"/>
  <c r="KZ63" i="1" s="1"/>
  <c r="LA64" i="1"/>
  <c r="LA65" i="1"/>
  <c r="LA66" i="1"/>
  <c r="LA67" i="1"/>
  <c r="LA68" i="1"/>
  <c r="LA69" i="1"/>
  <c r="LA70" i="1"/>
  <c r="LA71" i="1"/>
  <c r="LA72" i="1"/>
  <c r="LA73" i="1"/>
  <c r="LA74" i="1"/>
  <c r="LA75" i="1"/>
  <c r="LA76" i="1"/>
  <c r="LA77" i="1"/>
  <c r="LA78" i="1"/>
  <c r="LA79" i="1"/>
  <c r="LA80" i="1"/>
  <c r="LA81" i="1"/>
  <c r="LA82" i="1"/>
  <c r="LA83" i="1"/>
  <c r="LA84" i="1"/>
  <c r="LA85" i="1"/>
  <c r="LA86" i="1"/>
  <c r="LA87" i="1"/>
  <c r="LA88" i="1"/>
  <c r="LA89" i="1"/>
  <c r="LA90" i="1"/>
  <c r="LA91" i="1"/>
  <c r="LA92" i="1"/>
  <c r="LA93" i="1"/>
  <c r="LA94" i="1"/>
  <c r="LA95" i="1"/>
  <c r="LA96" i="1"/>
  <c r="LA97" i="1"/>
  <c r="LA98" i="1"/>
  <c r="LA99" i="1"/>
  <c r="LA100" i="1"/>
  <c r="LA101" i="1"/>
  <c r="LA102" i="1"/>
  <c r="KZ103" i="1" s="1"/>
  <c r="LA104" i="1"/>
  <c r="KZ104" i="1" s="1"/>
  <c r="LA105" i="1"/>
  <c r="LA106" i="1"/>
  <c r="LA107" i="1"/>
  <c r="LA108" i="1"/>
  <c r="LA109" i="1"/>
  <c r="KZ110" i="1" s="1"/>
  <c r="OU37" i="1"/>
  <c r="OZ41" i="1"/>
  <c r="OZ59" i="1"/>
  <c r="OZ62" i="1"/>
  <c r="LA15" i="1"/>
  <c r="CZ15" i="1"/>
  <c r="HD15" i="1"/>
  <c r="AB15" i="1"/>
  <c r="EX17" i="1"/>
  <c r="HD17" i="1" s="1"/>
  <c r="HD19" i="1" l="1"/>
  <c r="PC19" i="1" s="1"/>
  <c r="KZ109" i="1"/>
  <c r="CY109" i="1"/>
  <c r="PG109" i="1"/>
  <c r="OU109" i="1"/>
  <c r="OV110" i="1" s="1"/>
  <c r="OX109" i="1"/>
  <c r="PE109" i="1"/>
  <c r="PF110" i="1" s="1"/>
  <c r="HC109" i="1"/>
  <c r="OZ109" i="1"/>
  <c r="PA110" i="1" s="1"/>
  <c r="PC109" i="1"/>
  <c r="KZ108" i="1"/>
  <c r="HC108" i="1"/>
  <c r="PE108" i="1"/>
  <c r="OZ108" i="1"/>
  <c r="CY108" i="1"/>
  <c r="PG108" i="1"/>
  <c r="OU108" i="1"/>
  <c r="OX108" i="1"/>
  <c r="PC108" i="1"/>
  <c r="KZ107" i="1"/>
  <c r="KZ106" i="1"/>
  <c r="PC107" i="1"/>
  <c r="CY107" i="1"/>
  <c r="PG107" i="1"/>
  <c r="OU107" i="1"/>
  <c r="OX107" i="1"/>
  <c r="PE107" i="1"/>
  <c r="HC107" i="1"/>
  <c r="OZ107" i="1"/>
  <c r="CY106" i="1"/>
  <c r="PG106" i="1"/>
  <c r="OX106" i="1"/>
  <c r="OU106" i="1"/>
  <c r="HC106" i="1"/>
  <c r="PE106" i="1"/>
  <c r="OZ106" i="1"/>
  <c r="PC106" i="1"/>
  <c r="KZ105" i="1"/>
  <c r="PC105" i="1"/>
  <c r="PC104" i="1"/>
  <c r="CY105" i="1"/>
  <c r="PG105" i="1"/>
  <c r="OU105" i="1"/>
  <c r="OX105" i="1"/>
  <c r="HC105" i="1"/>
  <c r="PE105" i="1"/>
  <c r="OZ105" i="1"/>
  <c r="HC104" i="1"/>
  <c r="PE104" i="1"/>
  <c r="OZ104" i="1"/>
  <c r="CY104" i="1"/>
  <c r="PG104" i="1"/>
  <c r="OU104" i="1"/>
  <c r="OX104" i="1"/>
  <c r="KZ100" i="1"/>
  <c r="PC103" i="1"/>
  <c r="CY103" i="1"/>
  <c r="PG103" i="1"/>
  <c r="OX103" i="1"/>
  <c r="OU103" i="1"/>
  <c r="HC103" i="1"/>
  <c r="PE103" i="1"/>
  <c r="OZ103" i="1"/>
  <c r="KZ101" i="1"/>
  <c r="KZ102" i="1"/>
  <c r="PC102" i="1"/>
  <c r="PE102" i="1"/>
  <c r="HC102" i="1"/>
  <c r="OZ102" i="1"/>
  <c r="CY102" i="1"/>
  <c r="PG102" i="1"/>
  <c r="OU102" i="1"/>
  <c r="OX102" i="1"/>
  <c r="KZ97" i="1"/>
  <c r="PC101" i="1"/>
  <c r="CY101" i="1"/>
  <c r="PG101" i="1"/>
  <c r="OU101" i="1"/>
  <c r="OX101" i="1"/>
  <c r="HC101" i="1"/>
  <c r="PE101" i="1"/>
  <c r="OZ101" i="1"/>
  <c r="KZ99" i="1"/>
  <c r="PC100" i="1"/>
  <c r="HC100" i="1"/>
  <c r="PE100" i="1"/>
  <c r="OZ100" i="1"/>
  <c r="CY100" i="1"/>
  <c r="PG100" i="1"/>
  <c r="OX100" i="1"/>
  <c r="OU100" i="1"/>
  <c r="KZ98" i="1"/>
  <c r="CY99" i="1"/>
  <c r="PG99" i="1"/>
  <c r="OU99" i="1"/>
  <c r="OX99" i="1"/>
  <c r="HC99" i="1"/>
  <c r="PE99" i="1"/>
  <c r="OZ99" i="1"/>
  <c r="PC99" i="1"/>
  <c r="CY98" i="1"/>
  <c r="PG98" i="1"/>
  <c r="OU98" i="1"/>
  <c r="OX98" i="1"/>
  <c r="HC98" i="1"/>
  <c r="PE98" i="1"/>
  <c r="OZ98" i="1"/>
  <c r="PC98" i="1"/>
  <c r="HC97" i="1"/>
  <c r="PE97" i="1"/>
  <c r="OZ97" i="1"/>
  <c r="PC97" i="1"/>
  <c r="CY97" i="1"/>
  <c r="PG97" i="1"/>
  <c r="OU97" i="1"/>
  <c r="OX97" i="1"/>
  <c r="KZ95" i="1"/>
  <c r="KZ96" i="1"/>
  <c r="KZ93" i="1"/>
  <c r="PE96" i="1"/>
  <c r="HC96" i="1"/>
  <c r="OZ96" i="1"/>
  <c r="CY96" i="1"/>
  <c r="PG96" i="1"/>
  <c r="OX96" i="1"/>
  <c r="OU96" i="1"/>
  <c r="PC96" i="1"/>
  <c r="CY95" i="1"/>
  <c r="PG95" i="1"/>
  <c r="OX95" i="1"/>
  <c r="OU95" i="1"/>
  <c r="PE95" i="1"/>
  <c r="HC95" i="1"/>
  <c r="OZ95" i="1"/>
  <c r="PC95" i="1"/>
  <c r="KZ92" i="1"/>
  <c r="KZ94" i="1"/>
  <c r="HC94" i="1"/>
  <c r="PE94" i="1"/>
  <c r="OZ94" i="1"/>
  <c r="CY94" i="1"/>
  <c r="PG94" i="1"/>
  <c r="OX94" i="1"/>
  <c r="OU94" i="1"/>
  <c r="PC94" i="1"/>
  <c r="HC93" i="1"/>
  <c r="PE93" i="1"/>
  <c r="OZ93" i="1"/>
  <c r="PC93" i="1"/>
  <c r="CY93" i="1"/>
  <c r="PG93" i="1"/>
  <c r="OU93" i="1"/>
  <c r="OX93" i="1"/>
  <c r="KZ25" i="1"/>
  <c r="KZ91" i="1"/>
  <c r="PH88" i="1"/>
  <c r="PC92" i="1"/>
  <c r="CY92" i="1"/>
  <c r="PG92" i="1"/>
  <c r="OU92" i="1"/>
  <c r="OX92" i="1"/>
  <c r="PE92" i="1"/>
  <c r="HC92" i="1"/>
  <c r="OZ92" i="1"/>
  <c r="KZ90" i="1"/>
  <c r="HC17" i="1"/>
  <c r="HC35" i="1"/>
  <c r="AA19" i="1"/>
  <c r="KZ83" i="1"/>
  <c r="KZ71" i="1"/>
  <c r="KZ47" i="1"/>
  <c r="KZ34" i="1"/>
  <c r="KZ18" i="1"/>
  <c r="CY78" i="1"/>
  <c r="CY65" i="1"/>
  <c r="CY52" i="1"/>
  <c r="CY40" i="1"/>
  <c r="HC71" i="1"/>
  <c r="HC58" i="1"/>
  <c r="HC46" i="1"/>
  <c r="HC34" i="1"/>
  <c r="PH87" i="1"/>
  <c r="KZ89" i="1"/>
  <c r="KZ77" i="1"/>
  <c r="KZ65" i="1"/>
  <c r="KZ53" i="1"/>
  <c r="CY84" i="1"/>
  <c r="CY58" i="1"/>
  <c r="CY46" i="1"/>
  <c r="CY34" i="1"/>
  <c r="HC65" i="1"/>
  <c r="HC52" i="1"/>
  <c r="HC40" i="1"/>
  <c r="PH83" i="1"/>
  <c r="KZ86" i="1"/>
  <c r="KZ74" i="1"/>
  <c r="KZ50" i="1"/>
  <c r="KZ21" i="1"/>
  <c r="CY81" i="1"/>
  <c r="CY68" i="1"/>
  <c r="CY55" i="1"/>
  <c r="CY43" i="1"/>
  <c r="CY31" i="1"/>
  <c r="HC74" i="1"/>
  <c r="HC49" i="1"/>
  <c r="AA21" i="1"/>
  <c r="CY91" i="1"/>
  <c r="PG91" i="1"/>
  <c r="OX91" i="1"/>
  <c r="OU91" i="1"/>
  <c r="PE91" i="1"/>
  <c r="HC91" i="1"/>
  <c r="OZ91" i="1"/>
  <c r="PC91" i="1"/>
  <c r="HC90" i="1"/>
  <c r="PE90" i="1"/>
  <c r="OZ90" i="1"/>
  <c r="CY90" i="1"/>
  <c r="PG90" i="1"/>
  <c r="PH90" i="1" s="1"/>
  <c r="OX90" i="1"/>
  <c r="OU90" i="1"/>
  <c r="PC90" i="1"/>
  <c r="PH86" i="1"/>
  <c r="PE80" i="1"/>
  <c r="PG81" i="1"/>
  <c r="PH81" i="1" s="1"/>
  <c r="PG84" i="1"/>
  <c r="PH84" i="1" s="1"/>
  <c r="HC83" i="1"/>
  <c r="PE83" i="1"/>
  <c r="PH89" i="1"/>
  <c r="PE79" i="1"/>
  <c r="PE78" i="1"/>
  <c r="HC77" i="1"/>
  <c r="PE77" i="1"/>
  <c r="OZ77" i="1"/>
  <c r="PE88" i="1"/>
  <c r="PE87" i="1"/>
  <c r="PE89" i="1"/>
  <c r="HC86" i="1"/>
  <c r="PE86" i="1"/>
  <c r="PE85" i="1"/>
  <c r="PE84" i="1"/>
  <c r="PH80" i="1"/>
  <c r="PE82" i="1"/>
  <c r="PE81" i="1"/>
  <c r="PG78" i="1"/>
  <c r="PH78" i="1" s="1"/>
  <c r="HC25" i="1"/>
  <c r="KZ87" i="1"/>
  <c r="KZ75" i="1"/>
  <c r="KZ51" i="1"/>
  <c r="KZ38" i="1"/>
  <c r="KZ22" i="1"/>
  <c r="CY82" i="1"/>
  <c r="CY69" i="1"/>
  <c r="CY56" i="1"/>
  <c r="CY44" i="1"/>
  <c r="CY32" i="1"/>
  <c r="HC87" i="1"/>
  <c r="HC75" i="1"/>
  <c r="HC50" i="1"/>
  <c r="HC38" i="1"/>
  <c r="KZ81" i="1"/>
  <c r="KZ69" i="1"/>
  <c r="KZ57" i="1"/>
  <c r="KZ45" i="1"/>
  <c r="KZ32" i="1"/>
  <c r="CY88" i="1"/>
  <c r="CY76" i="1"/>
  <c r="CY50" i="1"/>
  <c r="CY38" i="1"/>
  <c r="CY22" i="1"/>
  <c r="HC81" i="1"/>
  <c r="HC69" i="1"/>
  <c r="HC56" i="1"/>
  <c r="HC44" i="1"/>
  <c r="HC32" i="1"/>
  <c r="KZ88" i="1"/>
  <c r="KZ76" i="1"/>
  <c r="HC39" i="1"/>
  <c r="HC89" i="1"/>
  <c r="OZ89" i="1"/>
  <c r="PC89" i="1"/>
  <c r="CY89" i="1"/>
  <c r="OU89" i="1"/>
  <c r="OX89" i="1"/>
  <c r="HC20" i="1"/>
  <c r="HC22" i="1"/>
  <c r="AA18" i="1"/>
  <c r="KZ80" i="1"/>
  <c r="KZ68" i="1"/>
  <c r="KZ56" i="1"/>
  <c r="KZ44" i="1"/>
  <c r="KZ31" i="1"/>
  <c r="CY87" i="1"/>
  <c r="CY75" i="1"/>
  <c r="CY49" i="1"/>
  <c r="CY21" i="1"/>
  <c r="HC80" i="1"/>
  <c r="HC68" i="1"/>
  <c r="HC55" i="1"/>
  <c r="HC43" i="1"/>
  <c r="HC31" i="1"/>
  <c r="KZ78" i="1"/>
  <c r="KZ66" i="1"/>
  <c r="KZ54" i="1"/>
  <c r="KZ42" i="1"/>
  <c r="KZ28" i="1"/>
  <c r="CY85" i="1"/>
  <c r="CY73" i="1"/>
  <c r="CY47" i="1"/>
  <c r="CY35" i="1"/>
  <c r="CY18" i="1"/>
  <c r="HC78" i="1"/>
  <c r="HC66" i="1"/>
  <c r="HC53" i="1"/>
  <c r="HC28" i="1"/>
  <c r="CY17" i="1"/>
  <c r="KZ64" i="1"/>
  <c r="KZ52" i="1"/>
  <c r="KZ39" i="1"/>
  <c r="KZ40" i="1"/>
  <c r="CY83" i="1"/>
  <c r="CY70" i="1"/>
  <c r="CY71" i="1"/>
  <c r="CY57" i="1"/>
  <c r="CY45" i="1"/>
  <c r="HC88" i="1"/>
  <c r="HC76" i="1"/>
  <c r="HC64" i="1"/>
  <c r="HC51" i="1"/>
  <c r="HC21" i="1"/>
  <c r="AA22" i="1"/>
  <c r="HC61" i="1"/>
  <c r="HC62" i="1"/>
  <c r="KZ85" i="1"/>
  <c r="KZ73" i="1"/>
  <c r="KZ62" i="1"/>
  <c r="KZ61" i="1"/>
  <c r="KZ49" i="1"/>
  <c r="KZ36" i="1"/>
  <c r="KZ20" i="1"/>
  <c r="CY80" i="1"/>
  <c r="CY67" i="1"/>
  <c r="CY54" i="1"/>
  <c r="CY42" i="1"/>
  <c r="HC85" i="1"/>
  <c r="HC73" i="1"/>
  <c r="HC60" i="1"/>
  <c r="HC48" i="1"/>
  <c r="HC36" i="1"/>
  <c r="AA20" i="1"/>
  <c r="KZ84" i="1"/>
  <c r="KZ72" i="1"/>
  <c r="KZ60" i="1"/>
  <c r="KZ48" i="1"/>
  <c r="KZ35" i="1"/>
  <c r="KZ19" i="1"/>
  <c r="CY79" i="1"/>
  <c r="CY66" i="1"/>
  <c r="CY53" i="1"/>
  <c r="CY28" i="1"/>
  <c r="HC84" i="1"/>
  <c r="HC72" i="1"/>
  <c r="HC47" i="1"/>
  <c r="HC26" i="1"/>
  <c r="KZ82" i="1"/>
  <c r="KZ70" i="1"/>
  <c r="KZ58" i="1"/>
  <c r="KZ46" i="1"/>
  <c r="KZ17" i="1"/>
  <c r="CY77" i="1"/>
  <c r="CY64" i="1"/>
  <c r="CY51" i="1"/>
  <c r="CY39" i="1"/>
  <c r="HC82" i="1"/>
  <c r="HC70" i="1"/>
  <c r="HC57" i="1"/>
  <c r="HC45" i="1"/>
  <c r="AA17" i="1"/>
  <c r="KZ26" i="1"/>
  <c r="CY62" i="1"/>
  <c r="CY61" i="1"/>
  <c r="HC18" i="1"/>
  <c r="KZ79" i="1"/>
  <c r="KZ67" i="1"/>
  <c r="KZ55" i="1"/>
  <c r="KZ43" i="1"/>
  <c r="CY86" i="1"/>
  <c r="CY74" i="1"/>
  <c r="CY60" i="1"/>
  <c r="CY48" i="1"/>
  <c r="CY36" i="1"/>
  <c r="HC79" i="1"/>
  <c r="HC67" i="1"/>
  <c r="HC54" i="1"/>
  <c r="HC42" i="1"/>
  <c r="PC88" i="1"/>
  <c r="PC87" i="1"/>
  <c r="PC86" i="1"/>
  <c r="PC85" i="1"/>
  <c r="PC84" i="1"/>
  <c r="PC83" i="1"/>
  <c r="PC82" i="1"/>
  <c r="OX16" i="1"/>
  <c r="PC81" i="1"/>
  <c r="PC80" i="1"/>
  <c r="PC79" i="1"/>
  <c r="PC78" i="1"/>
  <c r="PC77" i="1"/>
  <c r="OZ69" i="1"/>
  <c r="PC65" i="1"/>
  <c r="OZ65" i="1"/>
  <c r="PC76" i="1"/>
  <c r="OZ76" i="1"/>
  <c r="OZ70" i="1"/>
  <c r="PC67" i="1"/>
  <c r="OZ75" i="1"/>
  <c r="PC75" i="1"/>
  <c r="OZ74" i="1"/>
  <c r="PC74" i="1"/>
  <c r="PC73" i="1"/>
  <c r="OZ73" i="1"/>
  <c r="PC72" i="1"/>
  <c r="OZ72" i="1"/>
  <c r="PC71" i="1"/>
  <c r="OZ71" i="1"/>
  <c r="PC70" i="1"/>
  <c r="PC69" i="1"/>
  <c r="PC68" i="1"/>
  <c r="OZ68" i="1"/>
  <c r="OZ67" i="1"/>
  <c r="PC66" i="1"/>
  <c r="OZ66" i="1"/>
  <c r="OZ64" i="1"/>
  <c r="PC64" i="1"/>
  <c r="OZ63" i="1"/>
  <c r="PA63" i="1" s="1"/>
  <c r="PC63" i="1"/>
  <c r="PM62" i="1"/>
  <c r="PC61" i="1"/>
  <c r="OZ61" i="1"/>
  <c r="PC60" i="1"/>
  <c r="OZ60" i="1"/>
  <c r="PA60" i="1" s="1"/>
  <c r="OZ58" i="1"/>
  <c r="PC58" i="1"/>
  <c r="OZ45" i="1"/>
  <c r="PC57" i="1"/>
  <c r="OZ57" i="1"/>
  <c r="OZ47" i="1"/>
  <c r="CZ25" i="1"/>
  <c r="CY25" i="1" s="1"/>
  <c r="PC56" i="1"/>
  <c r="OZ56" i="1"/>
  <c r="PC55" i="1"/>
  <c r="OZ55" i="1"/>
  <c r="PC54" i="1"/>
  <c r="OZ54" i="1"/>
  <c r="OZ53" i="1"/>
  <c r="PC53" i="1"/>
  <c r="PC52" i="1"/>
  <c r="OZ52" i="1"/>
  <c r="PC51" i="1"/>
  <c r="OZ51" i="1"/>
  <c r="PC50" i="1"/>
  <c r="OZ50" i="1"/>
  <c r="PP41" i="1"/>
  <c r="PO41" i="1"/>
  <c r="PO59" i="1"/>
  <c r="PP59" i="1"/>
  <c r="PC47" i="1"/>
  <c r="PO23" i="1"/>
  <c r="PP23" i="1"/>
  <c r="PC49" i="1"/>
  <c r="OZ49" i="1"/>
  <c r="PC48" i="1"/>
  <c r="OZ48" i="1"/>
  <c r="OZ46" i="1"/>
  <c r="PC45" i="1"/>
  <c r="PC46" i="1"/>
  <c r="PC44" i="1"/>
  <c r="OZ44" i="1"/>
  <c r="PC43" i="1"/>
  <c r="OZ43" i="1"/>
  <c r="OZ26" i="1"/>
  <c r="PC17" i="1"/>
  <c r="PC42" i="1"/>
  <c r="OZ42" i="1"/>
  <c r="PA42" i="1" s="1"/>
  <c r="PC40" i="1"/>
  <c r="OZ40" i="1"/>
  <c r="PC39" i="1"/>
  <c r="OZ39" i="1"/>
  <c r="OZ38" i="1"/>
  <c r="PC38" i="1"/>
  <c r="OZ37" i="1"/>
  <c r="PI37" i="1" s="1"/>
  <c r="PJ37" i="1" s="1"/>
  <c r="PM37" i="1"/>
  <c r="PN37" i="1" s="1"/>
  <c r="PC36" i="1"/>
  <c r="OZ36" i="1"/>
  <c r="PC35" i="1"/>
  <c r="OZ35" i="1"/>
  <c r="OZ34" i="1"/>
  <c r="PC34" i="1"/>
  <c r="OZ33" i="1"/>
  <c r="PI33" i="1" s="1"/>
  <c r="PJ33" i="1" s="1"/>
  <c r="PC32" i="1"/>
  <c r="OZ32" i="1"/>
  <c r="PC31" i="1"/>
  <c r="OZ31" i="1"/>
  <c r="OZ30" i="1"/>
  <c r="PA30" i="1" s="1"/>
  <c r="PC30" i="1"/>
  <c r="OZ28" i="1"/>
  <c r="PL27" i="1"/>
  <c r="PC28" i="1"/>
  <c r="PC27" i="1"/>
  <c r="PM27" i="1"/>
  <c r="OZ27" i="1"/>
  <c r="OU27" i="1"/>
  <c r="PI27" i="1" s="1"/>
  <c r="PJ27" i="1" s="1"/>
  <c r="PC26" i="1"/>
  <c r="PL20" i="1"/>
  <c r="CZ19" i="1"/>
  <c r="CY19" i="1" s="1"/>
  <c r="PL24" i="1"/>
  <c r="PC16" i="1"/>
  <c r="PC24" i="1"/>
  <c r="PC22" i="1"/>
  <c r="PC20" i="1"/>
  <c r="PC21" i="1"/>
  <c r="PL17" i="1"/>
  <c r="PC25" i="1"/>
  <c r="OZ25" i="1"/>
  <c r="PC18" i="1"/>
  <c r="OZ24" i="1"/>
  <c r="PA24" i="1" s="1"/>
  <c r="OZ22" i="1"/>
  <c r="OZ21" i="1"/>
  <c r="OZ20" i="1"/>
  <c r="OZ17" i="1"/>
  <c r="OZ16" i="1"/>
  <c r="OZ15" i="1"/>
  <c r="OU15" i="1"/>
  <c r="OZ18" i="1"/>
  <c r="OU16" i="1"/>
  <c r="HC19" i="1" l="1"/>
  <c r="OZ19" i="1"/>
  <c r="OY114" i="1"/>
  <c r="OY115" i="1"/>
  <c r="PD114" i="1"/>
  <c r="PD115" i="1"/>
  <c r="OY111" i="1"/>
  <c r="OY112" i="1"/>
  <c r="OY113" i="1"/>
  <c r="PD111" i="1"/>
  <c r="PD113" i="1"/>
  <c r="PD112" i="1"/>
  <c r="PD62" i="1"/>
  <c r="PD110" i="1"/>
  <c r="OY62" i="1"/>
  <c r="OY110" i="1"/>
  <c r="PD109" i="1"/>
  <c r="PA109" i="1"/>
  <c r="PF109" i="1"/>
  <c r="OY109" i="1"/>
  <c r="PM109" i="1"/>
  <c r="OV109" i="1"/>
  <c r="PI109" i="1"/>
  <c r="PD108" i="1"/>
  <c r="PA107" i="1"/>
  <c r="PF107" i="1"/>
  <c r="PA108" i="1"/>
  <c r="PF108" i="1"/>
  <c r="OY108" i="1"/>
  <c r="PM108" i="1"/>
  <c r="OV108" i="1"/>
  <c r="PI108" i="1"/>
  <c r="PD107" i="1"/>
  <c r="OV107" i="1"/>
  <c r="PI107" i="1"/>
  <c r="OY107" i="1"/>
  <c r="PM107" i="1"/>
  <c r="PD106" i="1"/>
  <c r="PA106" i="1"/>
  <c r="PA105" i="1"/>
  <c r="PF106" i="1"/>
  <c r="OV106" i="1"/>
  <c r="PI106" i="1"/>
  <c r="OY106" i="1"/>
  <c r="PM106" i="1"/>
  <c r="PF105" i="1"/>
  <c r="PA103" i="1"/>
  <c r="PD105" i="1"/>
  <c r="PF104" i="1"/>
  <c r="PD104" i="1"/>
  <c r="PF103" i="1"/>
  <c r="PA104" i="1"/>
  <c r="OY105" i="1"/>
  <c r="PM105" i="1"/>
  <c r="OV105" i="1"/>
  <c r="PI105" i="1"/>
  <c r="OY104" i="1"/>
  <c r="PM104" i="1"/>
  <c r="OV104" i="1"/>
  <c r="PI104" i="1"/>
  <c r="PD103" i="1"/>
  <c r="OV103" i="1"/>
  <c r="PI103" i="1"/>
  <c r="PK115" i="1" s="1"/>
  <c r="OY103" i="1"/>
  <c r="PM103" i="1"/>
  <c r="PA101" i="1"/>
  <c r="PF101" i="1"/>
  <c r="PA102" i="1"/>
  <c r="PF102" i="1"/>
  <c r="PH97" i="1"/>
  <c r="PD102" i="1"/>
  <c r="OY102" i="1"/>
  <c r="PM102" i="1"/>
  <c r="OV102" i="1"/>
  <c r="PI102" i="1"/>
  <c r="PK114" i="1" s="1"/>
  <c r="PA99" i="1"/>
  <c r="PD101" i="1"/>
  <c r="OY101" i="1"/>
  <c r="PM101" i="1"/>
  <c r="OV101" i="1"/>
  <c r="PI101" i="1"/>
  <c r="PK113" i="1" s="1"/>
  <c r="PH100" i="1"/>
  <c r="PA100" i="1"/>
  <c r="PF100" i="1"/>
  <c r="PD100" i="1"/>
  <c r="OV100" i="1"/>
  <c r="PI100" i="1"/>
  <c r="PK112" i="1" s="1"/>
  <c r="OY100" i="1"/>
  <c r="PM100" i="1"/>
  <c r="PF97" i="1"/>
  <c r="PF99" i="1"/>
  <c r="PH98" i="1"/>
  <c r="PD97" i="1"/>
  <c r="PD99" i="1"/>
  <c r="PD98" i="1"/>
  <c r="PA98" i="1"/>
  <c r="PF98" i="1"/>
  <c r="PH99" i="1"/>
  <c r="OY99" i="1"/>
  <c r="PM99" i="1"/>
  <c r="OV99" i="1"/>
  <c r="PI99" i="1"/>
  <c r="PK111" i="1" s="1"/>
  <c r="OY98" i="1"/>
  <c r="PM98" i="1"/>
  <c r="OV98" i="1"/>
  <c r="PI98" i="1"/>
  <c r="PK110" i="1" s="1"/>
  <c r="PA97" i="1"/>
  <c r="OY97" i="1"/>
  <c r="PM97" i="1"/>
  <c r="OV97" i="1"/>
  <c r="PI97" i="1"/>
  <c r="PD96" i="1"/>
  <c r="PH96" i="1"/>
  <c r="PA95" i="1"/>
  <c r="PA96" i="1"/>
  <c r="PF96" i="1"/>
  <c r="OV96" i="1"/>
  <c r="PI96" i="1"/>
  <c r="OY96" i="1"/>
  <c r="PM96" i="1"/>
  <c r="PF93" i="1"/>
  <c r="PD95" i="1"/>
  <c r="PF95" i="1"/>
  <c r="PH94" i="1"/>
  <c r="PH95" i="1"/>
  <c r="PA94" i="1"/>
  <c r="OV95" i="1"/>
  <c r="PI95" i="1"/>
  <c r="OY95" i="1"/>
  <c r="PM95" i="1"/>
  <c r="PD94" i="1"/>
  <c r="PH93" i="1"/>
  <c r="PF94" i="1"/>
  <c r="PD93" i="1"/>
  <c r="OV94" i="1"/>
  <c r="PI94" i="1"/>
  <c r="OY94" i="1"/>
  <c r="PM94" i="1"/>
  <c r="PA93" i="1"/>
  <c r="OY93" i="1"/>
  <c r="PM93" i="1"/>
  <c r="OV93" i="1"/>
  <c r="PI93" i="1"/>
  <c r="PF80" i="1"/>
  <c r="PA92" i="1"/>
  <c r="PF92" i="1"/>
  <c r="PH92" i="1"/>
  <c r="PD92" i="1"/>
  <c r="OY92" i="1"/>
  <c r="PM92" i="1"/>
  <c r="OV92" i="1"/>
  <c r="PI92" i="1"/>
  <c r="PF83" i="1"/>
  <c r="PF82" i="1"/>
  <c r="PF86" i="1"/>
  <c r="PA91" i="1"/>
  <c r="PF90" i="1"/>
  <c r="PD91" i="1"/>
  <c r="PF88" i="1"/>
  <c r="PF91" i="1"/>
  <c r="PD90" i="1"/>
  <c r="PH82" i="1"/>
  <c r="PH91" i="1"/>
  <c r="PF84" i="1"/>
  <c r="PF79" i="1"/>
  <c r="PA90" i="1"/>
  <c r="OV91" i="1"/>
  <c r="PI91" i="1"/>
  <c r="OY91" i="1"/>
  <c r="PM91" i="1"/>
  <c r="OV90" i="1"/>
  <c r="PI90" i="1"/>
  <c r="OY90" i="1"/>
  <c r="PM90" i="1"/>
  <c r="PF78" i="1"/>
  <c r="PF85" i="1"/>
  <c r="PF89" i="1"/>
  <c r="PF87" i="1"/>
  <c r="PH79" i="1"/>
  <c r="PF81" i="1"/>
  <c r="PH85" i="1"/>
  <c r="PD89" i="1"/>
  <c r="PI89" i="1"/>
  <c r="OY89" i="1"/>
  <c r="PM89" i="1"/>
  <c r="CY20" i="1"/>
  <c r="CY26" i="1"/>
  <c r="PA34" i="1"/>
  <c r="PA38" i="1"/>
  <c r="PA51" i="1"/>
  <c r="PD87" i="1"/>
  <c r="PA47" i="1"/>
  <c r="PA20" i="1"/>
  <c r="PA64" i="1"/>
  <c r="PA75" i="1"/>
  <c r="PA35" i="1"/>
  <c r="PA36" i="1"/>
  <c r="PA73" i="1"/>
  <c r="PA70" i="1"/>
  <c r="PD86" i="1"/>
  <c r="PA32" i="1"/>
  <c r="PA68" i="1"/>
  <c r="PA26" i="1"/>
  <c r="PA48" i="1"/>
  <c r="PA58" i="1"/>
  <c r="PD88" i="1"/>
  <c r="PA71" i="1"/>
  <c r="PA56" i="1"/>
  <c r="PA72" i="1"/>
  <c r="PA69" i="1"/>
  <c r="PA65" i="1"/>
  <c r="PA21" i="1"/>
  <c r="PA61" i="1"/>
  <c r="PA52" i="1"/>
  <c r="PA66" i="1"/>
  <c r="OV16" i="1"/>
  <c r="PA18" i="1"/>
  <c r="PA22" i="1"/>
  <c r="PA46" i="1"/>
  <c r="PA67" i="1"/>
  <c r="PA53" i="1"/>
  <c r="PA62" i="1"/>
  <c r="PA43" i="1"/>
  <c r="PA57" i="1"/>
  <c r="PA39" i="1"/>
  <c r="PA50" i="1"/>
  <c r="PA54" i="1"/>
  <c r="PA76" i="1"/>
  <c r="PA17" i="1"/>
  <c r="PA44" i="1"/>
  <c r="PA74" i="1"/>
  <c r="PD85" i="1"/>
  <c r="PA28" i="1"/>
  <c r="PA25" i="1"/>
  <c r="PA49" i="1"/>
  <c r="PA45" i="1"/>
  <c r="PA19" i="1"/>
  <c r="PA31" i="1"/>
  <c r="PA40" i="1"/>
  <c r="PA55" i="1"/>
  <c r="PD84" i="1"/>
  <c r="PD83" i="1"/>
  <c r="PD82" i="1"/>
  <c r="PD79" i="1"/>
  <c r="PD80" i="1"/>
  <c r="PD81" i="1"/>
  <c r="PD78" i="1"/>
  <c r="PD77" i="1"/>
  <c r="PD76" i="1"/>
  <c r="PD72" i="1"/>
  <c r="PD68" i="1"/>
  <c r="PD22" i="1"/>
  <c r="PD69" i="1"/>
  <c r="PD75" i="1"/>
  <c r="PD63" i="1"/>
  <c r="PD70" i="1"/>
  <c r="PD73" i="1"/>
  <c r="PD67" i="1"/>
  <c r="PD65" i="1"/>
  <c r="PD74" i="1"/>
  <c r="PD66" i="1"/>
  <c r="PD64" i="1"/>
  <c r="PD71" i="1"/>
  <c r="PD60" i="1"/>
  <c r="PD61" i="1"/>
  <c r="PD58" i="1"/>
  <c r="PD30" i="1"/>
  <c r="PD57" i="1"/>
  <c r="PD47" i="1"/>
  <c r="PD40" i="1"/>
  <c r="PD56" i="1"/>
  <c r="PD39" i="1"/>
  <c r="PD45" i="1"/>
  <c r="PD51" i="1"/>
  <c r="PD54" i="1"/>
  <c r="PD55" i="1"/>
  <c r="PD48" i="1"/>
  <c r="PD53" i="1"/>
  <c r="PD50" i="1"/>
  <c r="PD52" i="1"/>
  <c r="PD17" i="1"/>
  <c r="PD21" i="1"/>
  <c r="PD20" i="1"/>
  <c r="PD43" i="1"/>
  <c r="PD36" i="1"/>
  <c r="PP33" i="1"/>
  <c r="PO33" i="1"/>
  <c r="PO27" i="1"/>
  <c r="PP27" i="1"/>
  <c r="PD49" i="1"/>
  <c r="PO37" i="1"/>
  <c r="PP37" i="1"/>
  <c r="PD44" i="1"/>
  <c r="PD32" i="1"/>
  <c r="PD46" i="1"/>
  <c r="PD35" i="1"/>
  <c r="PD42" i="1"/>
  <c r="PD38" i="1"/>
  <c r="PD31" i="1"/>
  <c r="PD34" i="1"/>
  <c r="PM41" i="1"/>
  <c r="PN41" i="1" s="1"/>
  <c r="PM33" i="1"/>
  <c r="PN33" i="1" s="1"/>
  <c r="PD24" i="1"/>
  <c r="PD19" i="1"/>
  <c r="PD26" i="1"/>
  <c r="PD27" i="1"/>
  <c r="PD28" i="1"/>
  <c r="PD25" i="1"/>
  <c r="PD18" i="1"/>
  <c r="PI15" i="1"/>
  <c r="PI16" i="1"/>
  <c r="PJ110" i="1" l="1"/>
  <c r="PK109" i="1"/>
  <c r="PJ109" i="1"/>
  <c r="PJ108" i="1"/>
  <c r="PK108" i="1"/>
  <c r="PJ107" i="1"/>
  <c r="PK107" i="1"/>
  <c r="PJ106" i="1"/>
  <c r="PK106" i="1"/>
  <c r="PJ105" i="1"/>
  <c r="PK105" i="1"/>
  <c r="PK104" i="1"/>
  <c r="PJ104" i="1"/>
  <c r="PJ103" i="1"/>
  <c r="PK103" i="1"/>
  <c r="PJ102" i="1"/>
  <c r="PK102" i="1"/>
  <c r="PK101" i="1"/>
  <c r="PJ101" i="1"/>
  <c r="PJ100" i="1"/>
  <c r="PJ99" i="1"/>
  <c r="PJ98" i="1"/>
  <c r="PJ97" i="1"/>
  <c r="PJ96" i="1"/>
  <c r="PJ95" i="1"/>
  <c r="PJ94" i="1"/>
  <c r="PJ93" i="1"/>
  <c r="PJ92" i="1"/>
  <c r="PJ91" i="1"/>
  <c r="PJ90" i="1"/>
  <c r="PJ16" i="1"/>
  <c r="PM16" i="1"/>
  <c r="PO16" i="1"/>
  <c r="PP16" i="1" s="1"/>
  <c r="PO15" i="1"/>
  <c r="PP15" i="1" s="1"/>
  <c r="PN114" i="1" l="1"/>
  <c r="PN115" i="1"/>
  <c r="PN111" i="1"/>
  <c r="PN112" i="1"/>
  <c r="PN113" i="1"/>
  <c r="PN89" i="1"/>
  <c r="PN110" i="1"/>
  <c r="PN109" i="1"/>
  <c r="PN108" i="1"/>
  <c r="PN107" i="1"/>
  <c r="PN106" i="1"/>
  <c r="PN105" i="1"/>
  <c r="PN104" i="1"/>
  <c r="PN103" i="1"/>
  <c r="PN102" i="1"/>
  <c r="PN101" i="1"/>
  <c r="PN100" i="1"/>
  <c r="PN98" i="1"/>
  <c r="PN97" i="1"/>
  <c r="PN99" i="1"/>
  <c r="PN96" i="1"/>
  <c r="PN95" i="1"/>
  <c r="PN94" i="1"/>
  <c r="PN93" i="1"/>
  <c r="PN92" i="1"/>
  <c r="PN91" i="1"/>
  <c r="PN90" i="1"/>
  <c r="PN62" i="1"/>
  <c r="PN27" i="1"/>
  <c r="OZ81" i="1"/>
  <c r="OZ86" i="1"/>
  <c r="OZ78" i="1"/>
  <c r="PA78" i="1" s="1"/>
  <c r="OX87" i="1"/>
  <c r="PM87" i="1" s="1"/>
  <c r="PN87" i="1" s="1"/>
  <c r="OZ82" i="1"/>
  <c r="OX69" i="1"/>
  <c r="PM69" i="1" s="1"/>
  <c r="PN69" i="1" s="1"/>
  <c r="OX71" i="1"/>
  <c r="PM71" i="1" s="1"/>
  <c r="PN71" i="1" s="1"/>
  <c r="OX64" i="1"/>
  <c r="OY64" i="1" s="1"/>
  <c r="OZ85" i="1"/>
  <c r="OU43" i="1"/>
  <c r="PI43" i="1" s="1"/>
  <c r="OU20" i="1"/>
  <c r="PI20" i="1" s="1"/>
  <c r="OE62" i="1"/>
  <c r="OX35" i="1"/>
  <c r="OY35" i="1" s="1"/>
  <c r="OZ83" i="1"/>
  <c r="OX60" i="1"/>
  <c r="OY60" i="1" s="1"/>
  <c r="OX39" i="1"/>
  <c r="OY39" i="1" s="1"/>
  <c r="OE81" i="1"/>
  <c r="OX81" i="1"/>
  <c r="OY81" i="1" s="1"/>
  <c r="OX65" i="1"/>
  <c r="OY65" i="1" s="1"/>
  <c r="OX52" i="1"/>
  <c r="OY52" i="1" s="1"/>
  <c r="OE43" i="1"/>
  <c r="OX43" i="1"/>
  <c r="PM43" i="1" s="1"/>
  <c r="PN43" i="1" s="1"/>
  <c r="OE87" i="1"/>
  <c r="OZ87" i="1"/>
  <c r="OX55" i="1"/>
  <c r="PM55" i="1" s="1"/>
  <c r="PN55" i="1" s="1"/>
  <c r="OX45" i="1"/>
  <c r="OY45" i="1" s="1"/>
  <c r="OX50" i="1"/>
  <c r="OY50" i="1" s="1"/>
  <c r="OX66" i="1"/>
  <c r="PM66" i="1" s="1"/>
  <c r="PN66" i="1" s="1"/>
  <c r="OU44" i="1"/>
  <c r="PI44" i="1" s="1"/>
  <c r="OX25" i="1"/>
  <c r="PM25" i="1" s="1"/>
  <c r="PN25" i="1" s="1"/>
  <c r="OX21" i="1"/>
  <c r="OY21" i="1" s="1"/>
  <c r="OE20" i="1"/>
  <c r="OX20" i="1"/>
  <c r="OY20" i="1" s="1"/>
  <c r="OX68" i="1"/>
  <c r="OY68" i="1" s="1"/>
  <c r="OX79" i="1"/>
  <c r="OY79" i="1" s="1"/>
  <c r="OU47" i="1"/>
  <c r="PI47" i="1" s="1"/>
  <c r="OU30" i="1"/>
  <c r="OV30" i="1" s="1"/>
  <c r="OX26" i="1"/>
  <c r="PM26" i="1" s="1"/>
  <c r="PN26" i="1" s="1"/>
  <c r="OU53" i="1"/>
  <c r="PI53" i="1" s="1"/>
  <c r="OE85" i="1"/>
  <c r="OX85" i="1"/>
  <c r="OY85" i="1" s="1"/>
  <c r="OE79" i="1"/>
  <c r="OZ79" i="1"/>
  <c r="OE86" i="1"/>
  <c r="OX86" i="1"/>
  <c r="OY86" i="1" s="1"/>
  <c r="OX19" i="1"/>
  <c r="PM19" i="1" s="1"/>
  <c r="PN19" i="1" s="1"/>
  <c r="OE52" i="1"/>
  <c r="OU52" i="1"/>
  <c r="PI52" i="1" s="1"/>
  <c r="OX56" i="1"/>
  <c r="OY56" i="1" s="1"/>
  <c r="OU17" i="1"/>
  <c r="OV17" i="1" s="1"/>
  <c r="OU57" i="1"/>
  <c r="OX22" i="1"/>
  <c r="PM22" i="1" s="1"/>
  <c r="PN22" i="1" s="1"/>
  <c r="OX77" i="1"/>
  <c r="PM77" i="1" s="1"/>
  <c r="PN77" i="1" s="1"/>
  <c r="OX46" i="1"/>
  <c r="PM46" i="1" s="1"/>
  <c r="PN46" i="1" s="1"/>
  <c r="OU28" i="1"/>
  <c r="OV28" i="1" s="1"/>
  <c r="OZ80" i="1"/>
  <c r="OE44" i="1"/>
  <c r="OX44" i="1"/>
  <c r="PM44" i="1" s="1"/>
  <c r="PN44" i="1" s="1"/>
  <c r="OX54" i="1"/>
  <c r="PM54" i="1" s="1"/>
  <c r="PN54" i="1" s="1"/>
  <c r="OE67" i="1"/>
  <c r="OX67" i="1"/>
  <c r="PM67" i="1" s="1"/>
  <c r="PN67" i="1" s="1"/>
  <c r="OX51" i="1"/>
  <c r="OY51" i="1" s="1"/>
  <c r="OX31" i="1"/>
  <c r="OY31" i="1" s="1"/>
  <c r="OX84" i="1"/>
  <c r="PM84" i="1" s="1"/>
  <c r="PN84" i="1" s="1"/>
  <c r="OE54" i="1"/>
  <c r="OU54" i="1"/>
  <c r="PI54" i="1" s="1"/>
  <c r="OE84" i="1"/>
  <c r="OZ84" i="1"/>
  <c r="OE56" i="1"/>
  <c r="OU56" i="1"/>
  <c r="PI56" i="1" s="1"/>
  <c r="OX76" i="1"/>
  <c r="PM76" i="1" s="1"/>
  <c r="PN76" i="1" s="1"/>
  <c r="OX63" i="1"/>
  <c r="PM63" i="1" s="1"/>
  <c r="PN63" i="1" s="1"/>
  <c r="OU40" i="1"/>
  <c r="PI40" i="1" s="1"/>
  <c r="OU34" i="1"/>
  <c r="OV34" i="1" s="1"/>
  <c r="OE35" i="1"/>
  <c r="OU35" i="1"/>
  <c r="PI35" i="1" s="1"/>
  <c r="OE66" i="1"/>
  <c r="OE80" i="1"/>
  <c r="OX80" i="1"/>
  <c r="OY80" i="1" s="1"/>
  <c r="OE82" i="1"/>
  <c r="OX82" i="1"/>
  <c r="PM82" i="1" s="1"/>
  <c r="PN82" i="1" s="1"/>
  <c r="OU18" i="1"/>
  <c r="OX42" i="1"/>
  <c r="OY42" i="1" s="1"/>
  <c r="OE19" i="1"/>
  <c r="OU19" i="1"/>
  <c r="PI19" i="1" s="1"/>
  <c r="OE51" i="1"/>
  <c r="OU51" i="1"/>
  <c r="PI51" i="1" s="1"/>
  <c r="OE42" i="1"/>
  <c r="OU42" i="1"/>
  <c r="PI42" i="1" s="1"/>
  <c r="OE77" i="1"/>
  <c r="OE28" i="1"/>
  <c r="OX28" i="1"/>
  <c r="PM28" i="1" s="1"/>
  <c r="PN28" i="1" s="1"/>
  <c r="OE45" i="1"/>
  <c r="OU45" i="1"/>
  <c r="OE58" i="1"/>
  <c r="OX58" i="1"/>
  <c r="PM58" i="1" s="1"/>
  <c r="PN58" i="1" s="1"/>
  <c r="OZ88" i="1"/>
  <c r="OX72" i="1"/>
  <c r="PM72" i="1" s="1"/>
  <c r="PN72" i="1" s="1"/>
  <c r="OE57" i="1"/>
  <c r="OX57" i="1"/>
  <c r="PM57" i="1" s="1"/>
  <c r="PN57" i="1" s="1"/>
  <c r="OX38" i="1"/>
  <c r="PM38" i="1" s="1"/>
  <c r="PN38" i="1" s="1"/>
  <c r="OE68" i="1"/>
  <c r="OE40" i="1"/>
  <c r="OX40" i="1"/>
  <c r="PM40" i="1" s="1"/>
  <c r="PN40" i="1" s="1"/>
  <c r="OU32" i="1"/>
  <c r="PI32" i="1" s="1"/>
  <c r="OE53" i="1"/>
  <c r="OX53" i="1"/>
  <c r="OY53" i="1" s="1"/>
  <c r="OE30" i="1"/>
  <c r="OX30" i="1"/>
  <c r="PM30" i="1" s="1"/>
  <c r="PN30" i="1" s="1"/>
  <c r="OX73" i="1"/>
  <c r="OY73" i="1" s="1"/>
  <c r="OE32" i="1"/>
  <c r="OX32" i="1"/>
  <c r="OY32" i="1" s="1"/>
  <c r="OE26" i="1"/>
  <c r="OU26" i="1"/>
  <c r="PI26" i="1" s="1"/>
  <c r="OU49" i="1"/>
  <c r="PI49" i="1" s="1"/>
  <c r="OE25" i="1"/>
  <c r="OU25" i="1"/>
  <c r="PI25" i="1" s="1"/>
  <c r="OE38" i="1"/>
  <c r="OU38" i="1"/>
  <c r="OV38" i="1" s="1"/>
  <c r="OE61" i="1"/>
  <c r="OX61" i="1"/>
  <c r="OY61" i="1" s="1"/>
  <c r="OE55" i="1"/>
  <c r="OU55" i="1"/>
  <c r="PI55" i="1" s="1"/>
  <c r="OX24" i="1"/>
  <c r="OY24" i="1" s="1"/>
  <c r="OE72" i="1"/>
  <c r="OE63" i="1"/>
  <c r="OE76" i="1"/>
  <c r="OE47" i="1"/>
  <c r="OX47" i="1"/>
  <c r="PM47" i="1" s="1"/>
  <c r="PN47" i="1" s="1"/>
  <c r="OE70" i="1"/>
  <c r="OX70" i="1"/>
  <c r="PM70" i="1" s="1"/>
  <c r="PN70" i="1" s="1"/>
  <c r="OE49" i="1"/>
  <c r="OX49" i="1"/>
  <c r="PM49" i="1" s="1"/>
  <c r="PN49" i="1" s="1"/>
  <c r="OE71" i="1"/>
  <c r="OE64" i="1"/>
  <c r="OE73" i="1"/>
  <c r="OE78" i="1"/>
  <c r="OX78" i="1"/>
  <c r="OY78" i="1" s="1"/>
  <c r="OE75" i="1"/>
  <c r="OX75" i="1"/>
  <c r="PM75" i="1" s="1"/>
  <c r="PN75" i="1" s="1"/>
  <c r="OE83" i="1"/>
  <c r="OX83" i="1"/>
  <c r="PM83" i="1" s="1"/>
  <c r="PN83" i="1" s="1"/>
  <c r="OE21" i="1"/>
  <c r="OU21" i="1"/>
  <c r="PI21" i="1" s="1"/>
  <c r="OE18" i="1"/>
  <c r="OX18" i="1"/>
  <c r="OY18" i="1" s="1"/>
  <c r="OX48" i="1"/>
  <c r="OY48" i="1" s="1"/>
  <c r="OE88" i="1"/>
  <c r="OX88" i="1"/>
  <c r="OY88" i="1" s="1"/>
  <c r="OE60" i="1"/>
  <c r="OE24" i="1"/>
  <c r="OU24" i="1"/>
  <c r="PI24" i="1" s="1"/>
  <c r="PJ24" i="1" s="1"/>
  <c r="OE74" i="1"/>
  <c r="OX74" i="1"/>
  <c r="PM74" i="1" s="1"/>
  <c r="PN74" i="1" s="1"/>
  <c r="OE39" i="1"/>
  <c r="OU39" i="1"/>
  <c r="PI39" i="1" s="1"/>
  <c r="OE50" i="1"/>
  <c r="OU50" i="1"/>
  <c r="PI50" i="1" s="1"/>
  <c r="OE22" i="1"/>
  <c r="OU22" i="1"/>
  <c r="OE17" i="1"/>
  <c r="OX17" i="1"/>
  <c r="PM17" i="1" s="1"/>
  <c r="PN17" i="1" s="1"/>
  <c r="OE31" i="1"/>
  <c r="OU31" i="1"/>
  <c r="PI31" i="1" s="1"/>
  <c r="OE69" i="1"/>
  <c r="OE65" i="1"/>
  <c r="OU36" i="1"/>
  <c r="OE48" i="1"/>
  <c r="OU48" i="1"/>
  <c r="PI48" i="1" s="1"/>
  <c r="OE36" i="1"/>
  <c r="OX36" i="1"/>
  <c r="PM36" i="1" s="1"/>
  <c r="PN36" i="1" s="1"/>
  <c r="OE46" i="1"/>
  <c r="OU46" i="1"/>
  <c r="OE34" i="1"/>
  <c r="OX34" i="1"/>
  <c r="PM34" i="1" s="1"/>
  <c r="PN34" i="1" s="1"/>
  <c r="PA82" i="1" l="1"/>
  <c r="OV36" i="1"/>
  <c r="PM60" i="1"/>
  <c r="PN60" i="1" s="1"/>
  <c r="OV31" i="1"/>
  <c r="OY83" i="1"/>
  <c r="OV55" i="1"/>
  <c r="OV48" i="1"/>
  <c r="OY54" i="1"/>
  <c r="PM45" i="1"/>
  <c r="PN45" i="1" s="1"/>
  <c r="OY69" i="1"/>
  <c r="PJ48" i="1"/>
  <c r="OY44" i="1"/>
  <c r="PA87" i="1"/>
  <c r="OY34" i="1"/>
  <c r="OY74" i="1"/>
  <c r="PM21" i="1"/>
  <c r="PN21" i="1" s="1"/>
  <c r="PM53" i="1"/>
  <c r="PN53" i="1" s="1"/>
  <c r="PM51" i="1"/>
  <c r="PN51" i="1" s="1"/>
  <c r="OY49" i="1"/>
  <c r="OV24" i="1"/>
  <c r="OY46" i="1"/>
  <c r="PA86" i="1"/>
  <c r="OV45" i="1"/>
  <c r="OY63" i="1"/>
  <c r="OV39" i="1"/>
  <c r="OV18" i="1"/>
  <c r="OY84" i="1"/>
  <c r="PJ32" i="1"/>
  <c r="PA83" i="1"/>
  <c r="PM86" i="1"/>
  <c r="PN86" i="1" s="1"/>
  <c r="OY77" i="1"/>
  <c r="OV46" i="1"/>
  <c r="OY71" i="1"/>
  <c r="PA84" i="1"/>
  <c r="OV57" i="1"/>
  <c r="PI17" i="1"/>
  <c r="PJ53" i="1"/>
  <c r="OY17" i="1"/>
  <c r="OV53" i="1"/>
  <c r="OV22" i="1"/>
  <c r="PM88" i="1"/>
  <c r="PN88" i="1" s="1"/>
  <c r="PI38" i="1"/>
  <c r="PJ38" i="1" s="1"/>
  <c r="PA88" i="1"/>
  <c r="PA89" i="1"/>
  <c r="PI18" i="1"/>
  <c r="PJ19" i="1" s="1"/>
  <c r="PI57" i="1"/>
  <c r="PJ57" i="1" s="1"/>
  <c r="PM39" i="1"/>
  <c r="PN39" i="1" s="1"/>
  <c r="PM20" i="1"/>
  <c r="PN20" i="1" s="1"/>
  <c r="OY55" i="1"/>
  <c r="OY72" i="1"/>
  <c r="PA85" i="1"/>
  <c r="OY70" i="1"/>
  <c r="OV44" i="1"/>
  <c r="OY76" i="1"/>
  <c r="PM64" i="1"/>
  <c r="PN64" i="1" s="1"/>
  <c r="PM32" i="1"/>
  <c r="PN32" i="1" s="1"/>
  <c r="OV32" i="1"/>
  <c r="OV56" i="1"/>
  <c r="OY66" i="1"/>
  <c r="OY87" i="1"/>
  <c r="PJ55" i="1"/>
  <c r="OY47" i="1"/>
  <c r="OY40" i="1"/>
  <c r="OV19" i="1"/>
  <c r="OY38" i="1"/>
  <c r="OY67" i="1"/>
  <c r="PA81" i="1"/>
  <c r="OV35" i="1"/>
  <c r="PI22" i="1"/>
  <c r="PJ22" i="1" s="1"/>
  <c r="OV25" i="1"/>
  <c r="OV21" i="1"/>
  <c r="PM73" i="1"/>
  <c r="PN73" i="1" s="1"/>
  <c r="OY28" i="1"/>
  <c r="PM42" i="1"/>
  <c r="PN42" i="1" s="1"/>
  <c r="OY22" i="1"/>
  <c r="PA80" i="1"/>
  <c r="PJ20" i="1"/>
  <c r="PJ40" i="1"/>
  <c r="PJ42" i="1"/>
  <c r="PJ21" i="1"/>
  <c r="PJ50" i="1"/>
  <c r="PJ26" i="1"/>
  <c r="PJ51" i="1"/>
  <c r="PJ52" i="1"/>
  <c r="PJ25" i="1"/>
  <c r="PJ49" i="1"/>
  <c r="OY25" i="1"/>
  <c r="OV50" i="1"/>
  <c r="OY19" i="1"/>
  <c r="OV42" i="1"/>
  <c r="OV43" i="1"/>
  <c r="OY82" i="1"/>
  <c r="PM79" i="1"/>
  <c r="PN79" i="1" s="1"/>
  <c r="OY36" i="1"/>
  <c r="PM48" i="1"/>
  <c r="PN48" i="1" s="1"/>
  <c r="OY75" i="1"/>
  <c r="OV26" i="1"/>
  <c r="OY57" i="1"/>
  <c r="OY58" i="1"/>
  <c r="PA79" i="1"/>
  <c r="PJ44" i="1"/>
  <c r="PM50" i="1"/>
  <c r="PN50" i="1" s="1"/>
  <c r="PI46" i="1"/>
  <c r="PJ47" i="1" s="1"/>
  <c r="OV47" i="1"/>
  <c r="PM24" i="1"/>
  <c r="PN24" i="1" s="1"/>
  <c r="PM52" i="1"/>
  <c r="PN52" i="1" s="1"/>
  <c r="OY30" i="1"/>
  <c r="PI34" i="1"/>
  <c r="PJ35" i="1" s="1"/>
  <c r="PM31" i="1"/>
  <c r="PN31" i="1" s="1"/>
  <c r="OY26" i="1"/>
  <c r="OV51" i="1"/>
  <c r="OV54" i="1"/>
  <c r="OV20" i="1"/>
  <c r="PM61" i="1"/>
  <c r="PN61" i="1" s="1"/>
  <c r="PJ56" i="1"/>
  <c r="PI28" i="1"/>
  <c r="PM85" i="1"/>
  <c r="PN85" i="1" s="1"/>
  <c r="PI45" i="1"/>
  <c r="PM35" i="1"/>
  <c r="PN35" i="1" s="1"/>
  <c r="PM65" i="1"/>
  <c r="PN65" i="1" s="1"/>
  <c r="PJ43" i="1"/>
  <c r="PM18" i="1"/>
  <c r="PN18" i="1" s="1"/>
  <c r="PA77" i="1"/>
  <c r="OV40" i="1"/>
  <c r="PM78" i="1"/>
  <c r="PN78" i="1" s="1"/>
  <c r="PM80" i="1"/>
  <c r="PN80" i="1" s="1"/>
  <c r="PJ54" i="1"/>
  <c r="OY43" i="1"/>
  <c r="PM81" i="1"/>
  <c r="PN81" i="1" s="1"/>
  <c r="PM56" i="1"/>
  <c r="PN56" i="1" s="1"/>
  <c r="PI36" i="1"/>
  <c r="OV49" i="1"/>
  <c r="OV52" i="1"/>
  <c r="PM68" i="1"/>
  <c r="PN68" i="1" s="1"/>
  <c r="PI30" i="1"/>
  <c r="PO22" i="1" l="1"/>
  <c r="PP22" i="1" s="1"/>
  <c r="PO19" i="1"/>
  <c r="PP19" i="1" s="1"/>
  <c r="PO24" i="1"/>
  <c r="PP24" i="1" s="1"/>
  <c r="PJ39" i="1"/>
  <c r="PO21" i="1"/>
  <c r="PP21" i="1" s="1"/>
  <c r="PO17" i="1"/>
  <c r="PP17" i="1" s="1"/>
  <c r="PO25" i="1"/>
  <c r="PP25" i="1" s="1"/>
  <c r="PO39" i="1"/>
  <c r="PP39" i="1" s="1"/>
  <c r="PO20" i="1"/>
  <c r="PP20" i="1" s="1"/>
  <c r="PJ17" i="1"/>
  <c r="PO26" i="1"/>
  <c r="PP26" i="1" s="1"/>
  <c r="PO55" i="1"/>
  <c r="PP55" i="1" s="1"/>
  <c r="PO47" i="1"/>
  <c r="PP47" i="1" s="1"/>
  <c r="PJ18" i="1"/>
  <c r="PO18" i="1"/>
  <c r="PP18" i="1" s="1"/>
  <c r="PO42" i="1"/>
  <c r="PP42" i="1" s="1"/>
  <c r="PO54" i="1"/>
  <c r="PP54" i="1" s="1"/>
  <c r="PJ30" i="1"/>
  <c r="PO30" i="1"/>
  <c r="PP30" i="1" s="1"/>
  <c r="PO48" i="1"/>
  <c r="PP48" i="1" s="1"/>
  <c r="PJ46" i="1"/>
  <c r="PO46" i="1"/>
  <c r="PP46" i="1" s="1"/>
  <c r="PO38" i="1"/>
  <c r="PP38" i="1" s="1"/>
  <c r="PO40" i="1"/>
  <c r="PP40" i="1" s="1"/>
  <c r="PO31" i="1"/>
  <c r="PP31" i="1" s="1"/>
  <c r="PO49" i="1"/>
  <c r="PP49" i="1" s="1"/>
  <c r="PO34" i="1"/>
  <c r="PP34" i="1" s="1"/>
  <c r="PJ34" i="1"/>
  <c r="PO50" i="1"/>
  <c r="PP50" i="1" s="1"/>
  <c r="PO45" i="1"/>
  <c r="PP45" i="1" s="1"/>
  <c r="PJ45" i="1"/>
  <c r="PO56" i="1"/>
  <c r="PP56" i="1" s="1"/>
  <c r="PJ31" i="1"/>
  <c r="PO43" i="1"/>
  <c r="PP43" i="1" s="1"/>
  <c r="PO44" i="1"/>
  <c r="PP44" i="1" s="1"/>
  <c r="PO28" i="1"/>
  <c r="PP28" i="1" s="1"/>
  <c r="PJ28" i="1"/>
  <c r="PO52" i="1"/>
  <c r="PP52" i="1" s="1"/>
  <c r="PO57" i="1"/>
  <c r="PP57" i="1" s="1"/>
  <c r="PO32" i="1"/>
  <c r="PP32" i="1" s="1"/>
  <c r="PO53" i="1"/>
  <c r="PP53" i="1" s="1"/>
  <c r="PO36" i="1"/>
  <c r="PP36" i="1" s="1"/>
  <c r="PJ36" i="1"/>
  <c r="PO51" i="1"/>
  <c r="PP51" i="1" s="1"/>
  <c r="PO35" i="1"/>
  <c r="PP35" i="1" s="1"/>
  <c r="OR58" i="1"/>
  <c r="OU58" i="1"/>
  <c r="PI58" i="1" s="1"/>
  <c r="OV58" i="1" l="1"/>
  <c r="PJ58" i="1"/>
  <c r="PO58" i="1"/>
  <c r="PP58" i="1" s="1"/>
  <c r="OU62" i="1"/>
  <c r="PI62" i="1" s="1"/>
  <c r="OU69" i="1"/>
  <c r="PI69" i="1" s="1"/>
  <c r="OU72" i="1"/>
  <c r="PI72" i="1" s="1"/>
  <c r="OU83" i="1"/>
  <c r="PI83" i="1" s="1"/>
  <c r="PK95" i="1" s="1"/>
  <c r="OU64" i="1"/>
  <c r="PI64" i="1" s="1"/>
  <c r="OU74" i="1"/>
  <c r="OU75" i="1"/>
  <c r="PI75" i="1" s="1"/>
  <c r="OU70" i="1"/>
  <c r="PI70" i="1" s="1"/>
  <c r="OU61" i="1"/>
  <c r="PI61" i="1" s="1"/>
  <c r="OU84" i="1"/>
  <c r="PI84" i="1" s="1"/>
  <c r="PK96" i="1" s="1"/>
  <c r="OU82" i="1"/>
  <c r="PI82" i="1" s="1"/>
  <c r="PK94" i="1" s="1"/>
  <c r="OU60" i="1"/>
  <c r="OV60" i="1" s="1"/>
  <c r="OU77" i="1"/>
  <c r="PI77" i="1" s="1"/>
  <c r="OU66" i="1"/>
  <c r="OU73" i="1"/>
  <c r="OU79" i="1"/>
  <c r="PI79" i="1" s="1"/>
  <c r="PK91" i="1" s="1"/>
  <c r="OU85" i="1"/>
  <c r="PI85" i="1" s="1"/>
  <c r="PK97" i="1" s="1"/>
  <c r="OU78" i="1"/>
  <c r="OU87" i="1"/>
  <c r="PI87" i="1" s="1"/>
  <c r="PK99" i="1" s="1"/>
  <c r="OU63" i="1"/>
  <c r="PI63" i="1" s="1"/>
  <c r="OU68" i="1"/>
  <c r="PI68" i="1" s="1"/>
  <c r="OU65" i="1"/>
  <c r="PI65" i="1" s="1"/>
  <c r="OU67" i="1"/>
  <c r="PI67" i="1" s="1"/>
  <c r="OU88" i="1"/>
  <c r="OU81" i="1"/>
  <c r="PI81" i="1" s="1"/>
  <c r="PK93" i="1" s="1"/>
  <c r="OU80" i="1"/>
  <c r="PI80" i="1" s="1"/>
  <c r="PK92" i="1" s="1"/>
  <c r="OU86" i="1"/>
  <c r="PI86" i="1" s="1"/>
  <c r="PK98" i="1" s="1"/>
  <c r="OU76" i="1"/>
  <c r="PI76" i="1" s="1"/>
  <c r="OU71" i="1"/>
  <c r="OV73" i="1" l="1"/>
  <c r="OV66" i="1"/>
  <c r="PI60" i="1"/>
  <c r="OV72" i="1"/>
  <c r="PK89" i="1"/>
  <c r="PJ77" i="1"/>
  <c r="OV67" i="1"/>
  <c r="OV65" i="1"/>
  <c r="OV77" i="1"/>
  <c r="PJ65" i="1"/>
  <c r="OV78" i="1"/>
  <c r="OV82" i="1"/>
  <c r="PI73" i="1"/>
  <c r="PJ73" i="1" s="1"/>
  <c r="OV81" i="1"/>
  <c r="OV71" i="1"/>
  <c r="PI71" i="1"/>
  <c r="PJ72" i="1" s="1"/>
  <c r="OV62" i="1"/>
  <c r="OV76" i="1"/>
  <c r="PJ76" i="1"/>
  <c r="OV74" i="1"/>
  <c r="OV63" i="1"/>
  <c r="PI88" i="1"/>
  <c r="PO115" i="1" s="1"/>
  <c r="PP115" i="1" s="1"/>
  <c r="OV89" i="1"/>
  <c r="OV87" i="1"/>
  <c r="PJ63" i="1"/>
  <c r="PK79" i="1"/>
  <c r="PJ69" i="1"/>
  <c r="PJ80" i="1"/>
  <c r="PK80" i="1"/>
  <c r="PJ84" i="1"/>
  <c r="PK84" i="1"/>
  <c r="PJ68" i="1"/>
  <c r="PJ70" i="1"/>
  <c r="PJ85" i="1"/>
  <c r="PJ86" i="1"/>
  <c r="PJ64" i="1"/>
  <c r="PI74" i="1"/>
  <c r="OV68" i="1"/>
  <c r="OV75" i="1"/>
  <c r="OV79" i="1"/>
  <c r="OV64" i="1"/>
  <c r="OV83" i="1"/>
  <c r="OV70" i="1"/>
  <c r="OV80" i="1"/>
  <c r="PK87" i="1"/>
  <c r="PJ82" i="1"/>
  <c r="OV61" i="1"/>
  <c r="PJ87" i="1"/>
  <c r="PJ81" i="1"/>
  <c r="PK81" i="1"/>
  <c r="PI78" i="1"/>
  <c r="PI66" i="1"/>
  <c r="OV84" i="1"/>
  <c r="PJ62" i="1"/>
  <c r="OV85" i="1"/>
  <c r="PJ83" i="1"/>
  <c r="OV86" i="1"/>
  <c r="OV69" i="1"/>
  <c r="PK82" i="1"/>
  <c r="OV88" i="1"/>
  <c r="PO113" i="1" l="1"/>
  <c r="PP113" i="1" s="1"/>
  <c r="PO114" i="1"/>
  <c r="PP114" i="1" s="1"/>
  <c r="PO112" i="1"/>
  <c r="PP112" i="1" s="1"/>
  <c r="PO111" i="1"/>
  <c r="PP111" i="1" s="1"/>
  <c r="PO110" i="1"/>
  <c r="PP110" i="1" s="1"/>
  <c r="PO109" i="1"/>
  <c r="PP109" i="1" s="1"/>
  <c r="PO108" i="1"/>
  <c r="PP108" i="1" s="1"/>
  <c r="PO107" i="1"/>
  <c r="PP107" i="1" s="1"/>
  <c r="PO106" i="1"/>
  <c r="PP106" i="1" s="1"/>
  <c r="PO105" i="1"/>
  <c r="PP105" i="1" s="1"/>
  <c r="PO104" i="1"/>
  <c r="PP104" i="1" s="1"/>
  <c r="PO103" i="1"/>
  <c r="PP103" i="1" s="1"/>
  <c r="PO102" i="1"/>
  <c r="PP102" i="1" s="1"/>
  <c r="PO101" i="1"/>
  <c r="PP101" i="1" s="1"/>
  <c r="PJ89" i="1"/>
  <c r="PK100" i="1"/>
  <c r="PO100" i="1"/>
  <c r="PP100" i="1" s="1"/>
  <c r="PO64" i="1"/>
  <c r="PP64" i="1" s="1"/>
  <c r="PO98" i="1"/>
  <c r="PP98" i="1" s="1"/>
  <c r="PO97" i="1"/>
  <c r="PP97" i="1" s="1"/>
  <c r="PO99" i="1"/>
  <c r="PP99" i="1" s="1"/>
  <c r="PO60" i="1"/>
  <c r="PP60" i="1" s="1"/>
  <c r="PO63" i="1"/>
  <c r="PP63" i="1" s="1"/>
  <c r="PO69" i="1"/>
  <c r="PP69" i="1" s="1"/>
  <c r="PJ61" i="1"/>
  <c r="PO65" i="1"/>
  <c r="PP65" i="1" s="1"/>
  <c r="PO61" i="1"/>
  <c r="PP61" i="1" s="1"/>
  <c r="PO62" i="1"/>
  <c r="PP62" i="1" s="1"/>
  <c r="PO96" i="1"/>
  <c r="PP96" i="1" s="1"/>
  <c r="PO95" i="1"/>
  <c r="PP95" i="1" s="1"/>
  <c r="PJ60" i="1"/>
  <c r="PO94" i="1"/>
  <c r="PP94" i="1" s="1"/>
  <c r="PO93" i="1"/>
  <c r="PP93" i="1" s="1"/>
  <c r="PO92" i="1"/>
  <c r="PP92" i="1" s="1"/>
  <c r="PO90" i="1"/>
  <c r="PP90" i="1" s="1"/>
  <c r="PJ79" i="1"/>
  <c r="PK90" i="1"/>
  <c r="PO68" i="1"/>
  <c r="PP68" i="1" s="1"/>
  <c r="PO91" i="1"/>
  <c r="PP91" i="1" s="1"/>
  <c r="PK83" i="1"/>
  <c r="PJ71" i="1"/>
  <c r="PK85" i="1"/>
  <c r="PO72" i="1"/>
  <c r="PP72" i="1" s="1"/>
  <c r="PO89" i="1"/>
  <c r="PP89" i="1" s="1"/>
  <c r="PO87" i="1"/>
  <c r="PP87" i="1" s="1"/>
  <c r="PJ88" i="1"/>
  <c r="PK88" i="1"/>
  <c r="PO83" i="1"/>
  <c r="PP83" i="1" s="1"/>
  <c r="PO81" i="1"/>
  <c r="PP81" i="1" s="1"/>
  <c r="PO67" i="1"/>
  <c r="PP67" i="1" s="1"/>
  <c r="PO82" i="1"/>
  <c r="PP82" i="1" s="1"/>
  <c r="PJ67" i="1"/>
  <c r="PO80" i="1"/>
  <c r="PP80" i="1" s="1"/>
  <c r="PO79" i="1"/>
  <c r="PP79" i="1" s="1"/>
  <c r="PO84" i="1"/>
  <c r="PP84" i="1" s="1"/>
  <c r="PJ74" i="1"/>
  <c r="PJ75" i="1"/>
  <c r="PO74" i="1"/>
  <c r="PP74" i="1" s="1"/>
  <c r="PO77" i="1"/>
  <c r="PP77" i="1" s="1"/>
  <c r="PO71" i="1"/>
  <c r="PP71" i="1" s="1"/>
  <c r="PO78" i="1"/>
  <c r="PP78" i="1" s="1"/>
  <c r="PJ78" i="1"/>
  <c r="PK78" i="1"/>
  <c r="PK86" i="1"/>
  <c r="PO85" i="1"/>
  <c r="PP85" i="1" s="1"/>
  <c r="PO76" i="1"/>
  <c r="PP76" i="1" s="1"/>
  <c r="PJ66" i="1"/>
  <c r="PO66" i="1"/>
  <c r="PP66" i="1" s="1"/>
  <c r="PO86" i="1"/>
  <c r="PP86" i="1" s="1"/>
  <c r="PO75" i="1"/>
  <c r="PP75" i="1" s="1"/>
  <c r="PO73" i="1"/>
  <c r="PP73" i="1" s="1"/>
  <c r="PO70" i="1"/>
  <c r="PP70" i="1" s="1"/>
  <c r="PO88" i="1"/>
  <c r="PP88"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Rob Squire</author>
    <author>Rob</author>
    <author>tc={10DFECD6-7708-4B1C-A783-A6AAAD08B113}</author>
    <author>tc={3924E87A-FE1B-4CC0-8284-66C7DE5859D7}</author>
    <author>tc={8531775E-BFF8-4DD4-BBF1-51D13C491A5F}</author>
    <author>tc={0FB4AF1D-542F-409F-BA76-8851B58B9033}</author>
    <author>tc={F2577DE9-A6E1-4641-8D36-F467E6DBD7C8}</author>
    <author>tc={29F8A73F-FD99-443C-ABE3-13B40B0B839D}</author>
    <author>tc={D5BA53BB-52C0-4D27-A6C3-B02CA9C1008D}</author>
    <author>tc={E24C47ED-AF23-45CE-8068-BE9D9513AF30}</author>
    <author>tc={A2B79912-0971-4CBE-841A-4ECE3732D0A1}</author>
    <author>tc={6FA084FE-0DC6-4909-BA50-53E26D78BFA5}</author>
    <author>tc={EFA4B870-44EC-4548-B10B-362FEF9C16B7}</author>
    <author>tc={06027989-065F-4EA9-BD53-EC6B221D2F79}</author>
    <author>tc={7E49E121-FB72-4FE0-9D95-B336DFC7BBD2}</author>
    <author>tc={202E36AC-7484-4FF6-9AF5-D04D0FA00DAA}</author>
    <author>tc={E4855E2D-4DBA-4D32-A58C-886C9920E596}</author>
    <author>tc={84545132-6001-402C-BAA8-54CBAF10F8D1}</author>
    <author>tc={39221D83-1A3A-4D2C-AB7A-7BF300C0A301}</author>
    <author>tc={24AF8350-C691-4B2D-BC65-FF28F3EDBBCA}</author>
    <author>tc={A309B543-942D-40A1-BF66-4F7480BD732C}</author>
    <author>tc={88182E4B-7917-4853-82AC-4DDD51033D18}</author>
    <author>tc={4E5CBF85-5183-45E2-9048-2C60546F7D4D}</author>
    <author>tc={8A611523-4C7B-4F2A-B771-8CDF5CE1C244}</author>
    <author>tc={6BC2FCCB-08F3-43A5-AB54-99BE6E776AD2}</author>
    <author>tc={139ADD60-EA07-4275-8960-450E2647735E}</author>
    <author>tc={8F077C27-1240-4B4F-91A8-6C7B3DD52070}</author>
    <author>tc={12D0E4C0-3EF3-493B-91B5-5AAA39C7310E}</author>
    <author>tc={C7E98E78-EDC1-454D-956C-686FBC1F5010}</author>
    <author>tc={2C5DDB0F-0B2F-42AA-B507-3B7E0878D0FD}</author>
    <author>tc={71E29C0D-3229-40C8-B9BE-A7B1D4C76727}</author>
    <author>tc={79742A59-5BE3-4B9E-B7A3-B8DFEC371B20}</author>
    <author>tc={66926A9B-215B-451E-A89A-34836187BA69}</author>
    <author>tc={F0D42280-AF28-4C11-A4FC-BD141AF9558F}</author>
    <author>tc={817766DE-C3C8-48FB-92E3-31F724394A68}</author>
    <author>tc={0BCF4AAC-64FB-41EE-87E0-219A16DE8A6A}</author>
    <author>tc={F497991D-51EC-4BE4-BE1C-85C014036252}</author>
    <author>tc={AA6F5829-8882-43E6-BA40-F6B639C64359}</author>
    <author>tc={9E805FEF-6461-4F8E-BCD1-BE566952F256}</author>
    <author>tc={0D1672C4-7E46-49A6-AB5E-C09E720A0D3F}</author>
    <author>tc={3C62E2F1-18CB-4735-A4E3-D22C45F77E2B}</author>
    <author>tc={8CFCCB43-E1EC-4A65-87FB-8C194B88D11E}</author>
    <author>tc={529C7615-1298-48B6-BC96-4D19094BF520}</author>
    <author>tc={09DAEE8D-2365-4C89-BEB5-F9FB4F1599DB}</author>
    <author>tc={F51BB3B7-9DFA-4515-A1F3-BE56E00A46FF}</author>
    <author>tc={B6CF6789-680B-456E-A4F6-2DE2204A1F0A}</author>
    <author>tc={91D0B0C5-D29F-4BDB-ACF0-ECED956F3656}</author>
    <author>tc={3D59C44B-6E5E-4823-AAA9-83D7AE1FB100}</author>
    <author>tc={B4AB9949-C52A-4704-9F83-0D0A3DBEB7BC}</author>
    <author>tc={9C4C1B05-1D3D-4F88-8E6F-25E1C348FB07}</author>
  </authors>
  <commentList>
    <comment ref="E14" authorId="0" shapeId="0" xr:uid="{2E0E40EE-5D7B-4E61-9440-6BA618C3EC53}">
      <text>
        <r>
          <rPr>
            <b/>
            <sz val="9"/>
            <color indexed="81"/>
            <rFont val="Tahoma"/>
            <family val="2"/>
          </rPr>
          <t>Rob Squire:</t>
        </r>
        <r>
          <rPr>
            <sz val="9"/>
            <color indexed="81"/>
            <rFont val="Tahoma"/>
            <family val="2"/>
          </rPr>
          <t xml:space="preserve">
Fidelity Long Term Treasury Bond Index</t>
        </r>
      </text>
    </comment>
    <comment ref="G14" authorId="0" shapeId="0" xr:uid="{6A95DF5C-7BA3-487A-A4F7-66B1C3F5C57A}">
      <text>
        <r>
          <rPr>
            <b/>
            <sz val="9"/>
            <color indexed="81"/>
            <rFont val="Tahoma"/>
            <family val="2"/>
          </rPr>
          <t>Rob Squire:</t>
        </r>
        <r>
          <rPr>
            <sz val="9"/>
            <color indexed="81"/>
            <rFont val="Tahoma"/>
            <family val="2"/>
          </rPr>
          <t xml:space="preserve">
Fidelity Total Bond Fund
Normally investing at least 80% of assets in debt securities of all types and repurchase agreements for those securities. Using the Bloomberg Barclays U.S. Universal Bond Index as a guide in allocating assets across the investment-grade, high yield, and emerging market asset classes. Investing up to 20% of assets in lower-quality debt securities.
1/14/2020 Bought 5,059.253 shares @ 10.97 ($55,500)</t>
        </r>
      </text>
    </comment>
    <comment ref="I14" authorId="1" shapeId="0" xr:uid="{A4FC8CF4-1A21-411D-8A73-77CADB20EDB2}">
      <text>
        <r>
          <rPr>
            <b/>
            <sz val="9"/>
            <color indexed="81"/>
            <rFont val="Tahoma"/>
            <family val="2"/>
          </rPr>
          <t>Rob:</t>
        </r>
        <r>
          <rPr>
            <sz val="9"/>
            <color indexed="81"/>
            <rFont val="Tahoma"/>
            <family val="2"/>
          </rPr>
          <t xml:space="preserve">
ISHARES ETF modelling the MCSI EAFE representing large and mid cap companies in Europe, Australia, Asia and Far East (no US)</t>
        </r>
      </text>
    </comment>
    <comment ref="J14" authorId="1" shapeId="0" xr:uid="{1CD8964D-A4E2-4093-A37E-2BC0C3A7A55A}">
      <text>
        <r>
          <rPr>
            <b/>
            <sz val="9"/>
            <color indexed="81"/>
            <rFont val="Tahoma"/>
            <family val="2"/>
          </rPr>
          <t>Rob:</t>
        </r>
        <r>
          <rPr>
            <sz val="9"/>
            <color indexed="81"/>
            <rFont val="Tahoma"/>
            <family val="2"/>
          </rPr>
          <t xml:space="preserve">
ISHARES ETF rrepresenting Emerging Markets</t>
        </r>
      </text>
    </comment>
    <comment ref="L14" authorId="0" shapeId="0" xr:uid="{35FC44C0-1258-48C8-B0FF-E8ACA03E63DA}">
      <text>
        <r>
          <rPr>
            <b/>
            <sz val="9"/>
            <color indexed="81"/>
            <rFont val="Tahoma"/>
            <family val="2"/>
          </rPr>
          <t>Rob Squire:</t>
        </r>
        <r>
          <rPr>
            <sz val="9"/>
            <color indexed="81"/>
            <rFont val="Tahoma"/>
            <family val="2"/>
          </rPr>
          <t xml:space="preserve">
JP Morgan</t>
        </r>
      </text>
    </comment>
    <comment ref="R14" authorId="1" shapeId="0" xr:uid="{00000000-0006-0000-0000-000001000000}">
      <text>
        <r>
          <rPr>
            <b/>
            <sz val="9"/>
            <color indexed="81"/>
            <rFont val="Tahoma"/>
            <family val="2"/>
          </rPr>
          <t>Rob:</t>
        </r>
        <r>
          <rPr>
            <sz val="9"/>
            <color indexed="81"/>
            <rFont val="Tahoma"/>
            <family val="2"/>
          </rPr>
          <t xml:space="preserve">
Harding Loevner Emerging Markets.
This fund seeks long term capital appreciation through investments in equity securities of companies based in emerging markets.  
Composition is mostly large cap companies. 50% Asia, 16% Latin America, 11% emerging Europe, 7% Africa</t>
        </r>
      </text>
    </comment>
    <comment ref="S14" authorId="1" shapeId="0" xr:uid="{E2164ED5-CA52-4B3D-8F00-CE7150884560}">
      <text>
        <r>
          <rPr>
            <b/>
            <sz val="9"/>
            <color indexed="81"/>
            <rFont val="Tahoma"/>
            <family val="2"/>
          </rPr>
          <t>Rob:</t>
        </r>
        <r>
          <rPr>
            <sz val="9"/>
            <color indexed="81"/>
            <rFont val="Tahoma"/>
            <family val="2"/>
          </rPr>
          <t xml:space="preserve">
Vanguard Developed Market ETF</t>
        </r>
      </text>
    </comment>
    <comment ref="U14" authorId="1" shapeId="0" xr:uid="{00000000-0006-0000-0000-000002000000}">
      <text>
        <r>
          <rPr>
            <b/>
            <sz val="9"/>
            <color indexed="81"/>
            <rFont val="Tahoma"/>
            <family val="2"/>
          </rPr>
          <t>Rob:</t>
        </r>
        <r>
          <rPr>
            <sz val="9"/>
            <color indexed="81"/>
            <rFont val="Tahoma"/>
            <family val="2"/>
          </rPr>
          <t xml:space="preserve">
Westcore Colorado Tax Exempt</t>
        </r>
      </text>
    </comment>
    <comment ref="V14" authorId="0" shapeId="0" xr:uid="{2C57D3BC-1430-4700-9CD9-03EA0CA340A5}">
      <text>
        <r>
          <rPr>
            <b/>
            <sz val="9"/>
            <color indexed="81"/>
            <rFont val="Tahoma"/>
            <family val="2"/>
          </rPr>
          <t>Rob Squire:</t>
        </r>
        <r>
          <rPr>
            <sz val="9"/>
            <color indexed="81"/>
            <rFont val="Tahoma"/>
            <family val="2"/>
          </rPr>
          <t xml:space="preserve">
Vanguard High Yield Corporate Fund Investor Shares</t>
        </r>
      </text>
    </comment>
    <comment ref="W14" authorId="0" shapeId="0" xr:uid="{7B51DE4D-4F9B-4D12-AFF0-1694D5177ED8}">
      <text>
        <r>
          <rPr>
            <b/>
            <sz val="9"/>
            <color indexed="81"/>
            <rFont val="Tahoma"/>
            <family val="2"/>
          </rPr>
          <t>Rob Squire:</t>
        </r>
        <r>
          <rPr>
            <sz val="9"/>
            <color indexed="81"/>
            <rFont val="Tahoma"/>
            <family val="2"/>
          </rPr>
          <t xml:space="preserve">
Vanguard Long Term Investment Grade Fund Investor Shares</t>
        </r>
      </text>
    </comment>
    <comment ref="AL14" authorId="0" shapeId="0" xr:uid="{002488EB-34EF-49F8-89A4-0BADB32B5211}">
      <text>
        <r>
          <rPr>
            <b/>
            <sz val="9"/>
            <color indexed="81"/>
            <rFont val="Tahoma"/>
            <family val="2"/>
          </rPr>
          <t>Rob Squire:</t>
        </r>
        <r>
          <rPr>
            <sz val="9"/>
            <color indexed="81"/>
            <rFont val="Tahoma"/>
            <family val="2"/>
          </rPr>
          <t xml:space="preserve">
Autozone</t>
        </r>
      </text>
    </comment>
    <comment ref="AS14" authorId="0" shapeId="0" xr:uid="{5685179D-EDDF-4BC0-B6DD-2A98B9D0324E}">
      <text>
        <r>
          <rPr>
            <b/>
            <sz val="9"/>
            <color indexed="81"/>
            <rFont val="Tahoma"/>
            <family val="2"/>
          </rPr>
          <t>Rob Squire:</t>
        </r>
        <r>
          <rPr>
            <sz val="9"/>
            <color indexed="81"/>
            <rFont val="Tahoma"/>
            <family val="2"/>
          </rPr>
          <t xml:space="preserve">
SPDR Convertible Bond ETF</t>
        </r>
      </text>
    </comment>
    <comment ref="AT14" authorId="0" shapeId="0" xr:uid="{8DD92A8A-1FAF-4071-B5C4-279C379760AD}">
      <text>
        <r>
          <rPr>
            <b/>
            <sz val="9"/>
            <color indexed="81"/>
            <rFont val="Tahoma"/>
            <family val="2"/>
          </rPr>
          <t>Rob Squire:</t>
        </r>
        <r>
          <rPr>
            <sz val="9"/>
            <color indexed="81"/>
            <rFont val="Tahoma"/>
            <family val="2"/>
          </rPr>
          <t xml:space="preserve">
Delta Airlines</t>
        </r>
      </text>
    </comment>
    <comment ref="AU14" authorId="0" shapeId="0" xr:uid="{78A21612-4408-4FEA-8667-7CC20079ED6B}">
      <text>
        <r>
          <rPr>
            <b/>
            <sz val="9"/>
            <color indexed="81"/>
            <rFont val="Tahoma"/>
            <family val="2"/>
          </rPr>
          <t>Rob Squire:</t>
        </r>
        <r>
          <rPr>
            <sz val="9"/>
            <color indexed="81"/>
            <rFont val="Tahoma"/>
            <family val="2"/>
          </rPr>
          <t xml:space="preserve">
</t>
        </r>
        <r>
          <rPr>
            <b/>
            <sz val="9"/>
            <color indexed="81"/>
            <rFont val="Tahoma"/>
            <family val="2"/>
          </rPr>
          <t>Objective</t>
        </r>
        <r>
          <rPr>
            <sz val="9"/>
            <color indexed="81"/>
            <rFont val="Tahoma"/>
            <family val="2"/>
          </rPr>
          <t xml:space="preserve">
The investment seeks a high and stable rate of current income, consistent with long-term preservation of capital.
</t>
        </r>
        <r>
          <rPr>
            <b/>
            <sz val="9"/>
            <color indexed="81"/>
            <rFont val="Tahoma"/>
            <family val="2"/>
          </rPr>
          <t>Strategy</t>
        </r>
        <r>
          <rPr>
            <sz val="9"/>
            <color indexed="81"/>
            <rFont val="Tahoma"/>
            <family val="2"/>
          </rPr>
          <t xml:space="preserve">
The fund invests in a diversified portfolio of bonds and other debt securities. Under normal circumstances, the fund will invest at least 80% of its total assets in (1) investment-grade debt securities and (2) cash equivalents. "Investment grade" means securities rated Baa3 or higher by Moody's Investors Service, or BBB- or higher by Standard &amp; Poor's Ratings Group or Fitch Ratings, or equivalently rated by any nationally recognized statistical rating organization, or, if unrated, deemed to be of similar quality by Dodge &amp; Cox.
1/16/2020 Bought 4,851.275 shares @14.12 ($65,575 including a $75 transaction fee)</t>
        </r>
      </text>
    </comment>
    <comment ref="AX14" authorId="1" shapeId="0" xr:uid="{00000000-0006-0000-0000-000016000000}">
      <text>
        <r>
          <rPr>
            <b/>
            <sz val="11"/>
            <color indexed="81"/>
            <rFont val="Tahoma"/>
            <family val="2"/>
          </rPr>
          <t>Rob:</t>
        </r>
        <r>
          <rPr>
            <sz val="11"/>
            <color indexed="81"/>
            <rFont val="Tahoma"/>
            <family val="2"/>
          </rPr>
          <t xml:space="preserve">
Fidelity New Markes Income
Seeks income in Emerging Markets</t>
        </r>
      </text>
    </comment>
    <comment ref="AY14" authorId="0" shapeId="0" xr:uid="{86F858A8-B7B5-4A9A-B8A2-A0FF84DCDBAC}">
      <text>
        <r>
          <rPr>
            <b/>
            <sz val="9"/>
            <color indexed="81"/>
            <rFont val="Tahoma"/>
            <family val="2"/>
          </rPr>
          <t>Rob Squire:</t>
        </r>
        <r>
          <rPr>
            <sz val="9"/>
            <color indexed="81"/>
            <rFont val="Tahoma"/>
            <family val="2"/>
          </rPr>
          <t xml:space="preserve">
Fidelity Short Term Bond Fund</t>
        </r>
      </text>
    </comment>
    <comment ref="AZ14" authorId="0" shapeId="0" xr:uid="{5A6CEDBE-7EC7-4B92-BDCC-49BEF1723B5C}">
      <text>
        <r>
          <rPr>
            <b/>
            <sz val="9"/>
            <color indexed="81"/>
            <rFont val="Tahoma"/>
            <family val="2"/>
          </rPr>
          <t>Rob Squire:</t>
        </r>
        <r>
          <rPr>
            <sz val="9"/>
            <color indexed="81"/>
            <rFont val="Tahoma"/>
            <family val="2"/>
          </rPr>
          <t xml:space="preserve">
Fidelity Total Bond Fund
Normally investing at least 80% of assets in debt securities of all types and repurchase agreements for those securities. Using the Bloomberg Barclays U.S. Universal Bond Index as a guide in allocating assets across the investment-grade, high yield, and emerging market asset classes. Investing up to 20% of assets in lower-quality debt securities.
1/14/2020 Bought 1,185.05 shares @ 10.97 ($13,000)</t>
        </r>
      </text>
    </comment>
    <comment ref="BA14" authorId="1" shapeId="0" xr:uid="{00000000-0006-0000-0000-000017000000}">
      <text>
        <r>
          <rPr>
            <b/>
            <sz val="11"/>
            <color indexed="81"/>
            <rFont val="Tahoma"/>
            <family val="2"/>
          </rPr>
          <t>Rob:</t>
        </r>
        <r>
          <rPr>
            <sz val="11"/>
            <color indexed="81"/>
            <rFont val="Tahoma"/>
            <family val="2"/>
          </rPr>
          <t xml:space="preserve">
Fidelity Total Bond Fund
Invests in investment grade, high yield and emerging mkts bonds</t>
        </r>
      </text>
    </comment>
    <comment ref="BB14" authorId="0" shapeId="0" xr:uid="{8B5AD272-4C34-49F6-9756-3BAD1EA3E5E3}">
      <text>
        <r>
          <rPr>
            <b/>
            <sz val="9"/>
            <color indexed="81"/>
            <rFont val="Tahoma"/>
            <family val="2"/>
          </rPr>
          <t>Rob Squire:</t>
        </r>
        <r>
          <rPr>
            <sz val="9"/>
            <color indexed="81"/>
            <rFont val="Tahoma"/>
            <family val="2"/>
          </rPr>
          <t xml:space="preserve">
Fidelity Zero Int'l Index</t>
        </r>
      </text>
    </comment>
    <comment ref="BC14" authorId="0" shapeId="0" xr:uid="{0FA3E16F-3F9A-4F8F-98BB-C711B0328383}">
      <text>
        <r>
          <rPr>
            <b/>
            <sz val="9"/>
            <color indexed="81"/>
            <rFont val="Tahoma"/>
            <family val="2"/>
          </rPr>
          <t>Rob Squire:</t>
        </r>
        <r>
          <rPr>
            <sz val="9"/>
            <color indexed="81"/>
            <rFont val="Tahoma"/>
            <family val="2"/>
          </rPr>
          <t xml:space="preserve">
Fidelity Zero Total Market Index (US)</t>
        </r>
      </text>
    </comment>
    <comment ref="BH14" authorId="1" shapeId="0" xr:uid="{00000000-0006-0000-0000-000018000000}">
      <text>
        <r>
          <rPr>
            <b/>
            <sz val="11"/>
            <color indexed="81"/>
            <rFont val="Tahoma"/>
            <family val="2"/>
          </rPr>
          <t>Rob:</t>
        </r>
        <r>
          <rPr>
            <sz val="11"/>
            <color indexed="81"/>
            <rFont val="Tahoma"/>
            <family val="2"/>
          </rPr>
          <t xml:space="preserve">
Invests in bonds principally in developed mkts</t>
        </r>
      </text>
    </comment>
    <comment ref="BJ14" authorId="0" shapeId="0" xr:uid="{ED0AB394-D82B-4269-A02A-DA388B496881}">
      <text>
        <r>
          <rPr>
            <b/>
            <sz val="9"/>
            <color indexed="81"/>
            <rFont val="Tahoma"/>
            <family val="2"/>
          </rPr>
          <t>Rob Squire:</t>
        </r>
        <r>
          <rPr>
            <sz val="9"/>
            <color indexed="81"/>
            <rFont val="Tahoma"/>
            <family val="2"/>
          </rPr>
          <t xml:space="preserve">
Home Depot</t>
        </r>
      </text>
    </comment>
    <comment ref="BL14" authorId="0" shapeId="0" xr:uid="{351BB975-3B52-4BB1-BBE2-91C791711DAC}">
      <text>
        <r>
          <rPr>
            <b/>
            <sz val="9"/>
            <color indexed="81"/>
            <rFont val="Tahoma"/>
            <family val="2"/>
          </rPr>
          <t>Rob Squire:</t>
        </r>
        <r>
          <rPr>
            <sz val="9"/>
            <color indexed="81"/>
            <rFont val="Tahoma"/>
            <family val="2"/>
          </rPr>
          <t xml:space="preserve">
ISHARES Trust Convertible Bond ETF</t>
        </r>
      </text>
    </comment>
    <comment ref="BM14" authorId="1" shapeId="0" xr:uid="{D148E630-1D3E-4196-8A29-FD17278F3C24}">
      <text>
        <r>
          <rPr>
            <b/>
            <sz val="9"/>
            <color indexed="81"/>
            <rFont val="Tahoma"/>
            <family val="2"/>
          </rPr>
          <t>Rob:</t>
        </r>
        <r>
          <rPr>
            <sz val="9"/>
            <color indexed="81"/>
            <rFont val="Tahoma"/>
            <family val="2"/>
          </rPr>
          <t xml:space="preserve">
ISHARES Mid Cap ETF</t>
        </r>
      </text>
    </comment>
    <comment ref="BT14" authorId="0" shapeId="0" xr:uid="{D6A5B629-19A2-4F32-923B-157E53B8756D}">
      <text>
        <r>
          <rPr>
            <b/>
            <sz val="9"/>
            <color indexed="81"/>
            <rFont val="Tahoma"/>
            <family val="2"/>
          </rPr>
          <t>Rob Squire:</t>
        </r>
        <r>
          <rPr>
            <sz val="9"/>
            <color indexed="81"/>
            <rFont val="Tahoma"/>
            <family val="2"/>
          </rPr>
          <t xml:space="preserve">
Phillip Morris</t>
        </r>
      </text>
    </comment>
    <comment ref="BV14" authorId="0" shapeId="0" xr:uid="{4EBD941F-35A3-4B63-AAB8-C13216226AA1}">
      <text>
        <r>
          <rPr>
            <b/>
            <sz val="9"/>
            <color indexed="81"/>
            <rFont val="Tahoma"/>
            <family val="2"/>
          </rPr>
          <t>Rob Squire:</t>
        </r>
        <r>
          <rPr>
            <sz val="9"/>
            <color indexed="81"/>
            <rFont val="Tahoma"/>
            <family val="2"/>
          </rPr>
          <t xml:space="preserve">
Norwegian Cruise Lines</t>
        </r>
      </text>
    </comment>
    <comment ref="CA14" authorId="1" shapeId="0" xr:uid="{00000000-0006-0000-0000-000019000000}">
      <text>
        <r>
          <rPr>
            <b/>
            <sz val="11"/>
            <color indexed="81"/>
            <rFont val="Tahoma"/>
            <family val="2"/>
          </rPr>
          <t>Rob:</t>
        </r>
        <r>
          <rPr>
            <sz val="11"/>
            <color indexed="81"/>
            <rFont val="Tahoma"/>
            <family val="2"/>
          </rPr>
          <t xml:space="preserve">
Seeks income through various income instruments</t>
        </r>
      </text>
    </comment>
    <comment ref="CC14" authorId="1" shapeId="0" xr:uid="{00000000-0006-0000-0000-00001A000000}">
      <text>
        <r>
          <rPr>
            <b/>
            <sz val="9"/>
            <color indexed="81"/>
            <rFont val="Tahoma"/>
            <family val="2"/>
          </rPr>
          <t>Rob:</t>
        </r>
        <r>
          <rPr>
            <sz val="9"/>
            <color indexed="81"/>
            <rFont val="Tahoma"/>
            <family val="2"/>
          </rPr>
          <t xml:space="preserve">
Thompson Bond Fund</t>
        </r>
      </text>
    </comment>
    <comment ref="CD14" authorId="0" shapeId="0" xr:uid="{17266755-4979-47DB-BEA6-D29D138A513D}">
      <text>
        <r>
          <rPr>
            <b/>
            <sz val="9"/>
            <color indexed="81"/>
            <rFont val="Tahoma"/>
            <family val="2"/>
          </rPr>
          <t>Rob Squire:</t>
        </r>
        <r>
          <rPr>
            <sz val="9"/>
            <color indexed="81"/>
            <rFont val="Tahoma"/>
            <family val="2"/>
          </rPr>
          <t xml:space="preserve">
Trowe Price Ultra Short Bond Fund</t>
        </r>
      </text>
    </comment>
    <comment ref="CF14" authorId="0" shapeId="0" xr:uid="{7A403FB7-5D69-45DE-AB45-41C6BB21326F}">
      <text>
        <r>
          <rPr>
            <b/>
            <sz val="9"/>
            <color indexed="81"/>
            <rFont val="Tahoma"/>
            <family val="2"/>
          </rPr>
          <t>Rob Squire:</t>
        </r>
        <r>
          <rPr>
            <sz val="9"/>
            <color indexed="81"/>
            <rFont val="Tahoma"/>
            <family val="2"/>
          </rPr>
          <t xml:space="preserve">
United Airlines</t>
        </r>
      </text>
    </comment>
    <comment ref="CH14" authorId="0" shapeId="0" xr:uid="{FF926BFE-F35B-4805-BF3D-0B249521EE9B}">
      <text>
        <r>
          <rPr>
            <b/>
            <sz val="9"/>
            <color indexed="81"/>
            <rFont val="Tahoma"/>
            <family val="2"/>
          </rPr>
          <t>Rob Squire:</t>
        </r>
        <r>
          <rPr>
            <sz val="9"/>
            <color indexed="81"/>
            <rFont val="Tahoma"/>
            <family val="2"/>
          </rPr>
          <t xml:space="preserve">
United Health Group</t>
        </r>
      </text>
    </comment>
    <comment ref="CM14" authorId="0" shapeId="0" xr:uid="{896C1B43-9AEF-4BB4-8C34-F6632AE78B31}">
      <text>
        <r>
          <rPr>
            <b/>
            <sz val="9"/>
            <color indexed="81"/>
            <rFont val="Tahoma"/>
            <family val="2"/>
          </rPr>
          <t>Rob Squire:</t>
        </r>
        <r>
          <rPr>
            <sz val="9"/>
            <color indexed="81"/>
            <rFont val="Tahoma"/>
            <family val="2"/>
          </rPr>
          <t xml:space="preserve">
Vanguard Tax Managed Intl F FTSE Dev Mkt ETF</t>
        </r>
      </text>
    </comment>
    <comment ref="CQ14" authorId="1" shapeId="0" xr:uid="{D4A93C49-9B18-4EE1-B8F6-0A3B797BB9D0}">
      <text>
        <r>
          <rPr>
            <b/>
            <sz val="9"/>
            <color indexed="81"/>
            <rFont val="Tahoma"/>
            <family val="2"/>
          </rPr>
          <t>Rob:</t>
        </r>
        <r>
          <rPr>
            <sz val="9"/>
            <color indexed="81"/>
            <rFont val="Tahoma"/>
            <family val="2"/>
          </rPr>
          <t xml:space="preserve">
Vanguard REIT ETF</t>
        </r>
      </text>
    </comment>
    <comment ref="CU14" authorId="1" shapeId="0" xr:uid="{779CCBDE-6BBF-48D5-86FC-B022065B1F5F}">
      <text>
        <r>
          <rPr>
            <b/>
            <sz val="9"/>
            <color indexed="81"/>
            <rFont val="Tahoma"/>
            <family val="2"/>
          </rPr>
          <t>Rob:</t>
        </r>
        <r>
          <rPr>
            <sz val="9"/>
            <color indexed="81"/>
            <rFont val="Tahoma"/>
            <family val="2"/>
          </rPr>
          <t xml:space="preserve">
Wells Fargo preferred stock</t>
        </r>
      </text>
    </comment>
    <comment ref="CV14" authorId="0" shapeId="0" xr:uid="{A887B668-9D1C-4600-B76F-70B486F4500C}">
      <text>
        <r>
          <rPr>
            <b/>
            <sz val="9"/>
            <color indexed="81"/>
            <rFont val="Tahoma"/>
            <family val="2"/>
          </rPr>
          <t>Rob Squire:</t>
        </r>
        <r>
          <rPr>
            <sz val="9"/>
            <color indexed="81"/>
            <rFont val="Tahoma"/>
            <family val="2"/>
          </rPr>
          <t xml:space="preserve">
Waste Management</t>
        </r>
      </text>
    </comment>
    <comment ref="DD14" authorId="2" shapeId="0" xr:uid="{10DFECD6-7708-4B1C-A783-A6AAAD08B113}">
      <text>
        <t>[Threaded comment]
Your version of Excel allows you to read this threaded comment; however, any edits to it will get removed if the file is opened in a newer version of Excel. Learn more: https://go.microsoft.com/fwlink/?linkid=870924
Comment:
    ISHARES Core Aggregate Bond ETF</t>
      </text>
    </comment>
    <comment ref="DE14" authorId="0" shapeId="0" xr:uid="{30AB42D9-1A36-4587-B9B1-E0792683EB0A}">
      <text>
        <r>
          <rPr>
            <b/>
            <sz val="9"/>
            <color indexed="81"/>
            <rFont val="Tahoma"/>
            <family val="2"/>
          </rPr>
          <t>Rob Squire:</t>
        </r>
        <r>
          <rPr>
            <sz val="9"/>
            <color indexed="81"/>
            <rFont val="Tahoma"/>
            <family val="2"/>
          </rPr>
          <t xml:space="preserve">
Vanguard Int Term Bond ETF</t>
        </r>
      </text>
    </comment>
    <comment ref="DH14" authorId="0" shapeId="0" xr:uid="{2709E6EB-9324-4C5A-8058-1FC5CA13E519}">
      <text>
        <r>
          <rPr>
            <b/>
            <sz val="9"/>
            <color indexed="81"/>
            <rFont val="Tahoma"/>
            <family val="2"/>
          </rPr>
          <t>Rob Squire:</t>
        </r>
        <r>
          <rPr>
            <sz val="9"/>
            <color indexed="81"/>
            <rFont val="Tahoma"/>
            <family val="2"/>
          </rPr>
          <t xml:space="preserve">
Fidelity Long Term Treasury Bond Index</t>
        </r>
      </text>
    </comment>
    <comment ref="DJ14" authorId="0" shapeId="0" xr:uid="{19DD6CFA-4E4E-49AC-A96C-6CE4484723A6}">
      <text>
        <r>
          <rPr>
            <b/>
            <sz val="9"/>
            <color indexed="81"/>
            <rFont val="Tahoma"/>
            <family val="2"/>
          </rPr>
          <t>Rob Squire:</t>
        </r>
        <r>
          <rPr>
            <sz val="9"/>
            <color indexed="81"/>
            <rFont val="Tahoma"/>
            <family val="2"/>
          </rPr>
          <t xml:space="preserve">
Fidelity Int Term Treasury Bond Fund</t>
        </r>
      </text>
    </comment>
    <comment ref="DR14" authorId="0" shapeId="0" xr:uid="{45D724B2-DF1D-4BD4-ADD4-AF433672E7B4}">
      <text>
        <r>
          <rPr>
            <b/>
            <sz val="9"/>
            <color indexed="81"/>
            <rFont val="Tahoma"/>
            <family val="2"/>
          </rPr>
          <t>Rob Squire:</t>
        </r>
        <r>
          <rPr>
            <sz val="9"/>
            <color indexed="81"/>
            <rFont val="Tahoma"/>
            <family val="2"/>
          </rPr>
          <t xml:space="preserve">
Vanguard Int Term Corporate bond ETF</t>
        </r>
      </text>
    </comment>
    <comment ref="DS14" authorId="0" shapeId="0" xr:uid="{E3E7034A-25F7-4A5A-8FD2-8DBEE88ECA49}">
      <text>
        <r>
          <rPr>
            <b/>
            <sz val="9"/>
            <color indexed="81"/>
            <rFont val="Tahoma"/>
            <family val="2"/>
          </rPr>
          <t>Rob Squire:</t>
        </r>
        <r>
          <rPr>
            <sz val="9"/>
            <color indexed="81"/>
            <rFont val="Tahoma"/>
            <family val="2"/>
          </rPr>
          <t xml:space="preserve">
Vanguard Scottsdale FDS Long Term Corp Bonc IDX Fund</t>
        </r>
      </text>
    </comment>
    <comment ref="DU14" authorId="0" shapeId="0" xr:uid="{0E1D1D5E-F870-4613-990A-3305EE060B40}">
      <text>
        <r>
          <rPr>
            <b/>
            <sz val="9"/>
            <color indexed="81"/>
            <rFont val="Tahoma"/>
            <family val="2"/>
          </rPr>
          <t>Rob Squire:</t>
        </r>
        <r>
          <rPr>
            <sz val="9"/>
            <color indexed="81"/>
            <rFont val="Tahoma"/>
            <family val="2"/>
          </rPr>
          <t xml:space="preserve">
Vanguard Short Term Corporatee Bond IDX Fund</t>
        </r>
      </text>
    </comment>
    <comment ref="EA14" authorId="0" shapeId="0" xr:uid="{11E785D4-5378-4A80-BDB7-52C528F8865E}">
      <text>
        <r>
          <rPr>
            <b/>
            <sz val="9"/>
            <color indexed="81"/>
            <rFont val="Tahoma"/>
            <family val="2"/>
          </rPr>
          <t>Rob Squire:</t>
        </r>
        <r>
          <rPr>
            <sz val="9"/>
            <color indexed="81"/>
            <rFont val="Tahoma"/>
            <family val="2"/>
          </rPr>
          <t xml:space="preserve">
The fund may invest up to 60% of its assets in equity securities and up to 100% of its assets in fixed income securities. It may also gain exposure to such equity securities and fixed-income securities by investing in BlackRock equity and/or fixed income mutual funds ("underlying funds") and affiliated and unaffiliated ETFs. The fund may also invest up to 15% of its assets in collateralized debt obligations ("CDOs"), including collateralized loan obligations ("CLOs").
1/14/2020 Bought 2,497.738 shares @ 11.05 ($27,600)</t>
        </r>
      </text>
    </comment>
    <comment ref="EB14" authorId="1" shapeId="0" xr:uid="{A49069DC-5B63-4C08-A2EB-E2A7BAAA8FC9}">
      <text>
        <r>
          <rPr>
            <b/>
            <sz val="9"/>
            <color indexed="81"/>
            <rFont val="Tahoma"/>
            <family val="2"/>
          </rPr>
          <t>Rob:</t>
        </r>
        <r>
          <rPr>
            <sz val="9"/>
            <color indexed="81"/>
            <rFont val="Tahoma"/>
            <family val="2"/>
          </rPr>
          <t xml:space="preserve">
Dreihaus Emerging Markets</t>
        </r>
      </text>
    </comment>
    <comment ref="EC14" authorId="0" shapeId="0" xr:uid="{AE94BC90-2646-4B7D-903A-7DD4814AE8E2}">
      <text>
        <r>
          <rPr>
            <b/>
            <sz val="9"/>
            <color indexed="81"/>
            <rFont val="Tahoma"/>
            <family val="2"/>
          </rPr>
          <t>Rob Squire:</t>
        </r>
        <r>
          <rPr>
            <sz val="9"/>
            <color indexed="81"/>
            <rFont val="Tahoma"/>
            <family val="2"/>
          </rPr>
          <t xml:space="preserve">
Fidelity Short Term Bond Fund</t>
        </r>
      </text>
    </comment>
    <comment ref="ED14" authorId="1" shapeId="0" xr:uid="{F12FFAB4-0BC7-4DFC-AB53-982356B6787C}">
      <text>
        <r>
          <rPr>
            <b/>
            <sz val="9"/>
            <color indexed="81"/>
            <rFont val="Tahoma"/>
            <family val="2"/>
          </rPr>
          <t>Rob:</t>
        </r>
        <r>
          <rPr>
            <sz val="9"/>
            <color indexed="81"/>
            <rFont val="Tahoma"/>
            <family val="2"/>
          </rPr>
          <t xml:space="preserve">
Harding Loevner Emerging Markets</t>
        </r>
      </text>
    </comment>
    <comment ref="EG14" authorId="1" shapeId="0" xr:uid="{94C8BDE5-DE0B-4632-AA76-D2223C51D3EB}">
      <text>
        <r>
          <rPr>
            <b/>
            <sz val="9"/>
            <color indexed="81"/>
            <rFont val="Tahoma"/>
            <family val="2"/>
          </rPr>
          <t>Rob:</t>
        </r>
        <r>
          <rPr>
            <sz val="9"/>
            <color indexed="81"/>
            <rFont val="Tahoma"/>
            <family val="2"/>
          </rPr>
          <t xml:space="preserve">
Oakmark International Fund Investor Class
Fund invests primarily in common stocks of non-US companies.  It may invest in emerging markets, but generally invests in developed markets.
Composition is mostly large cap companies.  
Geographical distribution is: 40% Eurozone, 23% UK, 18% ex Euro Europe, 6% Japan</t>
        </r>
      </text>
    </comment>
    <comment ref="EX14" authorId="1" shapeId="0" xr:uid="{00000000-0006-0000-0000-000003000000}">
      <text>
        <r>
          <rPr>
            <b/>
            <sz val="9"/>
            <color indexed="81"/>
            <rFont val="Tahoma"/>
            <family val="2"/>
          </rPr>
          <t>Rob:</t>
        </r>
        <r>
          <rPr>
            <sz val="9"/>
            <color indexed="81"/>
            <rFont val="Tahoma"/>
            <family val="2"/>
          </rPr>
          <t xml:space="preserve">
Fidelity Govt Money Market Acct
Changed to Fidelity Government Cash Reserves in Sep, 2018</t>
        </r>
      </text>
    </comment>
    <comment ref="EY14" authorId="1" shapeId="0" xr:uid="{00000000-0006-0000-0000-000004000000}">
      <text>
        <r>
          <rPr>
            <b/>
            <sz val="9"/>
            <color indexed="81"/>
            <rFont val="Tahoma"/>
            <family val="2"/>
          </rPr>
          <t>Rob:</t>
        </r>
        <r>
          <rPr>
            <sz val="9"/>
            <color indexed="81"/>
            <rFont val="Tahoma"/>
            <family val="2"/>
          </rPr>
          <t xml:space="preserve">
Apple
7/26/2017 Bought 105 shares @153.54</t>
        </r>
      </text>
    </comment>
    <comment ref="EZ14" authorId="1" shapeId="0" xr:uid="{00000000-0006-0000-0000-000005000000}">
      <text>
        <r>
          <rPr>
            <b/>
            <sz val="9"/>
            <color indexed="81"/>
            <rFont val="Tahoma"/>
            <family val="2"/>
          </rPr>
          <t>Rob:</t>
        </r>
        <r>
          <rPr>
            <sz val="9"/>
            <color indexed="81"/>
            <rFont val="Tahoma"/>
            <family val="2"/>
          </rPr>
          <t xml:space="preserve">
Ameren Corp</t>
        </r>
      </text>
    </comment>
    <comment ref="FA14" authorId="1" shapeId="0" xr:uid="{00000000-0006-0000-0000-000006000000}">
      <text>
        <r>
          <rPr>
            <b/>
            <sz val="9"/>
            <color indexed="81"/>
            <rFont val="Tahoma"/>
            <family val="2"/>
          </rPr>
          <t>Rob:</t>
        </r>
        <r>
          <rPr>
            <sz val="9"/>
            <color indexed="81"/>
            <rFont val="Tahoma"/>
            <family val="2"/>
          </rPr>
          <t xml:space="preserve">
Aetna</t>
        </r>
      </text>
    </comment>
    <comment ref="FG14" authorId="0" shapeId="0" xr:uid="{EE1B7FB9-B991-4297-8E9C-1AC966E9B4B6}">
      <text>
        <r>
          <rPr>
            <b/>
            <sz val="9"/>
            <color indexed="81"/>
            <rFont val="Tahoma"/>
            <family val="2"/>
          </rPr>
          <t>Rob Squire:</t>
        </r>
        <r>
          <rPr>
            <sz val="9"/>
            <color indexed="81"/>
            <rFont val="Tahoma"/>
            <family val="2"/>
          </rPr>
          <t xml:space="preserve">
Costco</t>
        </r>
      </text>
    </comment>
    <comment ref="FH14" authorId="1" shapeId="0" xr:uid="{00000000-0006-0000-0000-000007000000}">
      <text>
        <r>
          <rPr>
            <b/>
            <sz val="9"/>
            <color indexed="81"/>
            <rFont val="Tahoma"/>
            <family val="2"/>
          </rPr>
          <t>Rob:</t>
        </r>
        <r>
          <rPr>
            <sz val="9"/>
            <color indexed="81"/>
            <rFont val="Tahoma"/>
            <family val="2"/>
          </rPr>
          <t xml:space="preserve">
CISCO</t>
        </r>
      </text>
    </comment>
    <comment ref="FI14" authorId="1" shapeId="0" xr:uid="{00000000-0006-0000-0000-000008000000}">
      <text>
        <r>
          <rPr>
            <b/>
            <sz val="9"/>
            <color indexed="81"/>
            <rFont val="Tahoma"/>
            <family val="2"/>
          </rPr>
          <t>Rob:</t>
        </r>
        <r>
          <rPr>
            <sz val="9"/>
            <color indexed="81"/>
            <rFont val="Tahoma"/>
            <family val="2"/>
          </rPr>
          <t xml:space="preserve">
Cognizant Technology Solutions (IT provider)</t>
        </r>
      </text>
    </comment>
    <comment ref="FJ14" authorId="1" shapeId="0" xr:uid="{D9977C38-AF25-45C1-8C06-E27DE381909D}">
      <text>
        <r>
          <rPr>
            <b/>
            <sz val="9"/>
            <color indexed="81"/>
            <rFont val="Tahoma"/>
            <family val="2"/>
          </rPr>
          <t>Rob:</t>
        </r>
        <r>
          <rPr>
            <sz val="9"/>
            <color indexed="81"/>
            <rFont val="Tahoma"/>
            <family val="2"/>
          </rPr>
          <t xml:space="preserve">
As result of merger, we received 92 shares of CVS in exchange for the 112 shares of AET that we had.  
The cost basis is $80.14.  This is probably due to the initial cost basis of AET.</t>
        </r>
      </text>
    </comment>
    <comment ref="FK14" authorId="1" shapeId="0" xr:uid="{380711DD-67C6-48BF-8370-51B267D373A6}">
      <text>
        <r>
          <rPr>
            <b/>
            <sz val="9"/>
            <color indexed="81"/>
            <rFont val="Tahoma"/>
            <family val="2"/>
          </rPr>
          <t>Rob:</t>
        </r>
        <r>
          <rPr>
            <sz val="9"/>
            <color indexed="81"/>
            <rFont val="Tahoma"/>
            <family val="2"/>
          </rPr>
          <t xml:space="preserve">
Dominion Energy</t>
        </r>
      </text>
    </comment>
    <comment ref="FL14" authorId="0" shapeId="0" xr:uid="{CDBE0A9A-E0C3-4033-AD8D-171D2EADAAD6}">
      <text>
        <r>
          <rPr>
            <b/>
            <sz val="9"/>
            <color indexed="81"/>
            <rFont val="Tahoma"/>
            <family val="2"/>
          </rPr>
          <t>Rob Squire:</t>
        </r>
        <r>
          <rPr>
            <sz val="9"/>
            <color indexed="81"/>
            <rFont val="Tahoma"/>
            <family val="2"/>
          </rPr>
          <t xml:space="preserve">
Delta Air Lines, Inc. provides scheduled air transportation for passengers and cargo in the United States and internationally. The company operates through two segments, Airline and Refinery. Its route network is centered on a system of hubs and markets at airports in Amsterdam, Atlanta, Boston, Detroit, London-Heathrow, Los Angeles, Mexico City, Minneapolis-St. Paul, New York-LaGuardia, New York-JFK, Paris-Charles de Gaulle, Salt Lake City, Sao Paulo, Seattle, Seoul-Incheon, and Tokyo-Narita. The company sells its tickets through various distribution channels, including delta.com and mobile applications/Web, telephone reservations, online travel agencies, traditional brick and mortar, and other agencies. It also provides aircraft maintenance, repair, and overhaul services; and vacation packages to third-party consumers, as well as aircraft charters, and management and programs. The company operates through a fleet of approximately 800 aircraft. Delta Air Lines, Inc. was founded in 1924 and is headquartered in Atlanta, Georgia.</t>
        </r>
      </text>
    </comment>
    <comment ref="FM14" authorId="1" shapeId="0" xr:uid="{00000000-0006-0000-0000-000009000000}">
      <text>
        <r>
          <rPr>
            <b/>
            <sz val="9"/>
            <color indexed="81"/>
            <rFont val="Tahoma"/>
            <family val="2"/>
          </rPr>
          <t>Rob:</t>
        </r>
        <r>
          <rPr>
            <sz val="9"/>
            <color indexed="81"/>
            <rFont val="Tahoma"/>
            <family val="2"/>
          </rPr>
          <t xml:space="preserve">
Discover Financial Services</t>
        </r>
      </text>
    </comment>
    <comment ref="FO14" authorId="0" shapeId="0" xr:uid="{94E2910E-791C-4C6D-82D0-2D99078A0BC3}">
      <text>
        <r>
          <rPr>
            <b/>
            <sz val="9"/>
            <color indexed="81"/>
            <rFont val="Tahoma"/>
            <family val="2"/>
          </rPr>
          <t>Rob Squire:</t>
        </r>
        <r>
          <rPr>
            <sz val="9"/>
            <color indexed="81"/>
            <rFont val="Tahoma"/>
            <family val="2"/>
          </rPr>
          <t xml:space="preserve">
Facebook</t>
        </r>
      </text>
    </comment>
    <comment ref="FP14" authorId="1" shapeId="0" xr:uid="{00000000-0006-0000-0000-00000A000000}">
      <text>
        <r>
          <rPr>
            <b/>
            <sz val="9"/>
            <color indexed="81"/>
            <rFont val="Tahoma"/>
            <family val="2"/>
          </rPr>
          <t>Rob:</t>
        </r>
        <r>
          <rPr>
            <sz val="9"/>
            <color indexed="81"/>
            <rFont val="Tahoma"/>
            <family val="2"/>
          </rPr>
          <t xml:space="preserve">
Fedex</t>
        </r>
      </text>
    </comment>
    <comment ref="FQ14" authorId="0" shapeId="0" xr:uid="{B109D136-CB90-4F50-A7BD-2C0448033F2C}">
      <text>
        <r>
          <rPr>
            <b/>
            <sz val="9"/>
            <color indexed="81"/>
            <rFont val="Tahoma"/>
            <family val="2"/>
          </rPr>
          <t>Rob Squire:</t>
        </r>
        <r>
          <rPr>
            <sz val="9"/>
            <color indexed="81"/>
            <rFont val="Tahoma"/>
            <family val="2"/>
          </rPr>
          <t xml:space="preserve">
General Dynamics</t>
        </r>
      </text>
    </comment>
    <comment ref="FT14" authorId="1" shapeId="0" xr:uid="{00000000-0006-0000-0000-00000B000000}">
      <text>
        <r>
          <rPr>
            <b/>
            <sz val="9"/>
            <color indexed="81"/>
            <rFont val="Tahoma"/>
            <family val="2"/>
          </rPr>
          <t>Rob:</t>
        </r>
        <r>
          <rPr>
            <sz val="9"/>
            <color indexed="81"/>
            <rFont val="Tahoma"/>
            <family val="2"/>
          </rPr>
          <t xml:space="preserve">
ISHARES ETF modelling the MCSI EAFE representing large and mid cap companies in Europe, Australia, Asia and Far East (no US)</t>
        </r>
      </text>
    </comment>
    <comment ref="FU14" authorId="1" shapeId="0" xr:uid="{00000000-0006-0000-0000-00000C000000}">
      <text>
        <r>
          <rPr>
            <b/>
            <sz val="9"/>
            <color indexed="81"/>
            <rFont val="Tahoma"/>
            <family val="2"/>
          </rPr>
          <t>Rob:</t>
        </r>
        <r>
          <rPr>
            <sz val="9"/>
            <color indexed="81"/>
            <rFont val="Tahoma"/>
            <family val="2"/>
          </rPr>
          <t xml:space="preserve">
ISHARES ETF rrepresenting Emerging Markets</t>
        </r>
      </text>
    </comment>
    <comment ref="FX14" authorId="0" shapeId="0" xr:uid="{DE8A5381-4D2F-42EC-846A-DF6580339769}">
      <text>
        <r>
          <rPr>
            <b/>
            <sz val="9"/>
            <color indexed="81"/>
            <rFont val="Tahoma"/>
            <family val="2"/>
          </rPr>
          <t>Rob Squire:</t>
        </r>
        <r>
          <rPr>
            <sz val="9"/>
            <color indexed="81"/>
            <rFont val="Tahoma"/>
            <family val="2"/>
          </rPr>
          <t xml:space="preserve">
JP Morgan ETF</t>
        </r>
      </text>
    </comment>
    <comment ref="FY14" authorId="0" shapeId="0" xr:uid="{4DF3B16F-9737-40A7-B484-511B76568B37}">
      <text>
        <r>
          <rPr>
            <b/>
            <sz val="9"/>
            <color indexed="81"/>
            <rFont val="Tahoma"/>
            <family val="2"/>
          </rPr>
          <t>Rob Squire:</t>
        </r>
        <r>
          <rPr>
            <sz val="9"/>
            <color indexed="81"/>
            <rFont val="Tahoma"/>
            <family val="2"/>
          </rPr>
          <t xml:space="preserve">
JP Morgan</t>
        </r>
      </text>
    </comment>
    <comment ref="FZ14" authorId="1" shapeId="0" xr:uid="{00000000-0006-0000-0000-00000D000000}">
      <text>
        <r>
          <rPr>
            <b/>
            <sz val="9"/>
            <color indexed="81"/>
            <rFont val="Tahoma"/>
            <family val="2"/>
          </rPr>
          <t>Rob:</t>
        </r>
        <r>
          <rPr>
            <sz val="9"/>
            <color indexed="81"/>
            <rFont val="Tahoma"/>
            <family val="2"/>
          </rPr>
          <t xml:space="preserve">
Lowes</t>
        </r>
      </text>
    </comment>
    <comment ref="GA14" authorId="1" shapeId="0" xr:uid="{00000000-0006-0000-0000-00000E000000}">
      <text>
        <r>
          <rPr>
            <b/>
            <sz val="9"/>
            <color indexed="81"/>
            <rFont val="Tahoma"/>
            <family val="2"/>
          </rPr>
          <t>Rob:</t>
        </r>
        <r>
          <rPr>
            <sz val="9"/>
            <color indexed="81"/>
            <rFont val="Tahoma"/>
            <family val="2"/>
          </rPr>
          <t xml:space="preserve">
Mastercard
</t>
        </r>
      </text>
    </comment>
    <comment ref="GB14" authorId="1" shapeId="0" xr:uid="{1591AD3C-266E-49BA-A2FC-03AA7F5DD89E}">
      <text>
        <r>
          <rPr>
            <b/>
            <sz val="9"/>
            <color indexed="81"/>
            <rFont val="Tahoma"/>
            <family val="2"/>
          </rPr>
          <t>Rob:</t>
        </r>
        <r>
          <rPr>
            <sz val="9"/>
            <color indexed="81"/>
            <rFont val="Tahoma"/>
            <family val="2"/>
          </rPr>
          <t xml:space="preserve">
McKesson Corp
McKesson Corporation provides pharmaceuticals and medical supplies in the United States and internationally. It operates in three segments: U.S. Pharmaceutical and Specialty Solutions, European Pharmaceutical Solutions, and Medical-Surgical Solutions. The company distributes branded, generic, specialty, biosimilar, and over-the-counter pharmaceutical drugs, as well as other healthcare-related products; and offers practice management, technology, clinical support, and business solutions to community-based oncology and other specialty practices. It also provides specialty pharmaceutical solutions for pharmaceutical manufacturers; and medical-surgical supply distribution, logistics, and other services to healthcare providers. In addition, the company operates retail pharmacy chains in Europe and Canada, as well as supports independent pharmacy networks within North America and Europe; and supplies integrated pharmacy management systems, automated dispensing systems, and related services to retail, outpatient, central fill, specialty, and mail order pharmacies. Further, it provides software and analytics, network solutions, and technology-enabled services. The company serves retail national accounts, including national and regional chains, food and drug combinations, mail order pharmacies, and mass merchandisers; independent retail pharmacies; and institutional healthcare providers, such as hospitals, health systems, integrated delivery networks, and long-term care providers, as well as pharmaceutical manufacturers. McKesson Corporation was founded in 1833 and is headquartered in San Francisco, California.</t>
        </r>
      </text>
    </comment>
    <comment ref="GF14" authorId="1" shapeId="0" xr:uid="{00000000-0006-0000-0000-00000F000000}">
      <text>
        <r>
          <rPr>
            <b/>
            <sz val="9"/>
            <color indexed="81"/>
            <rFont val="Tahoma"/>
            <family val="2"/>
          </rPr>
          <t>Rob:</t>
        </r>
        <r>
          <rPr>
            <sz val="9"/>
            <color indexed="81"/>
            <rFont val="Tahoma"/>
            <family val="2"/>
          </rPr>
          <t xml:space="preserve">
Oracle</t>
        </r>
      </text>
    </comment>
    <comment ref="GH14" authorId="0" shapeId="0" xr:uid="{E82E8B4A-408F-462B-BBA7-6C4A38525E8C}">
      <text>
        <r>
          <rPr>
            <b/>
            <sz val="9"/>
            <color indexed="81"/>
            <rFont val="Tahoma"/>
            <family val="2"/>
          </rPr>
          <t>Rob Squire:</t>
        </r>
        <r>
          <rPr>
            <sz val="9"/>
            <color indexed="81"/>
            <rFont val="Tahoma"/>
            <family val="2"/>
          </rPr>
          <t xml:space="preserve">
Pepsi Co</t>
        </r>
      </text>
    </comment>
    <comment ref="GJ14" authorId="1" shapeId="0" xr:uid="{6B267106-0644-4750-8B4F-A7C83E9793E1}">
      <text>
        <r>
          <rPr>
            <b/>
            <sz val="9"/>
            <color indexed="81"/>
            <rFont val="Tahoma"/>
            <family val="2"/>
          </rPr>
          <t>Rob:</t>
        </r>
        <r>
          <rPr>
            <sz val="9"/>
            <color indexed="81"/>
            <rFont val="Tahoma"/>
            <family val="2"/>
          </rPr>
          <t xml:space="preserve">
Philip Morris</t>
        </r>
      </text>
    </comment>
    <comment ref="GK14" authorId="1" shapeId="0" xr:uid="{00000000-0006-0000-0000-000010000000}">
      <text>
        <r>
          <rPr>
            <b/>
            <sz val="9"/>
            <color indexed="81"/>
            <rFont val="Tahoma"/>
            <family val="2"/>
          </rPr>
          <t>Rob:</t>
        </r>
        <r>
          <rPr>
            <sz val="9"/>
            <color indexed="81"/>
            <rFont val="Tahoma"/>
            <family val="2"/>
          </rPr>
          <t xml:space="preserve">
PPL Corp (utility company operating in US and UK</t>
        </r>
      </text>
    </comment>
    <comment ref="GM14" authorId="1" shapeId="0" xr:uid="{00000000-0006-0000-0000-000011000000}">
      <text>
        <r>
          <rPr>
            <b/>
            <sz val="9"/>
            <color indexed="81"/>
            <rFont val="Tahoma"/>
            <family val="2"/>
          </rPr>
          <t>Rob:</t>
        </r>
        <r>
          <rPr>
            <sz val="9"/>
            <color indexed="81"/>
            <rFont val="Tahoma"/>
            <family val="2"/>
          </rPr>
          <t xml:space="preserve">
Starbucks</t>
        </r>
      </text>
    </comment>
    <comment ref="GN14" authorId="1" shapeId="0" xr:uid="{00000000-0006-0000-0000-000012000000}">
      <text>
        <r>
          <rPr>
            <b/>
            <sz val="9"/>
            <color indexed="81"/>
            <rFont val="Tahoma"/>
            <family val="2"/>
          </rPr>
          <t>Rob:</t>
        </r>
        <r>
          <rPr>
            <sz val="9"/>
            <color indexed="81"/>
            <rFont val="Tahoma"/>
            <family val="2"/>
          </rPr>
          <t xml:space="preserve">
Siemens</t>
        </r>
      </text>
    </comment>
    <comment ref="GO14" authorId="1" shapeId="0" xr:uid="{00000000-0006-0000-0000-000013000000}">
      <text>
        <r>
          <rPr>
            <b/>
            <sz val="9"/>
            <color indexed="81"/>
            <rFont val="Tahoma"/>
            <family val="2"/>
          </rPr>
          <t>Rob:</t>
        </r>
        <r>
          <rPr>
            <sz val="9"/>
            <color indexed="81"/>
            <rFont val="Tahoma"/>
            <family val="2"/>
          </rPr>
          <t xml:space="preserve">
Sysco</t>
        </r>
      </text>
    </comment>
    <comment ref="GR14" authorId="1" shapeId="0" xr:uid="{00000000-0006-0000-0000-000014000000}">
      <text>
        <r>
          <rPr>
            <b/>
            <sz val="9"/>
            <color indexed="81"/>
            <rFont val="Tahoma"/>
            <family val="2"/>
          </rPr>
          <t>Rob:</t>
        </r>
        <r>
          <rPr>
            <sz val="9"/>
            <color indexed="81"/>
            <rFont val="Tahoma"/>
            <family val="2"/>
          </rPr>
          <t xml:space="preserve">
Union Pacific</t>
        </r>
      </text>
    </comment>
    <comment ref="GS14" authorId="1" shapeId="0" xr:uid="{3B8C54FD-7620-4826-9FDE-3C9C5D302196}">
      <text>
        <r>
          <rPr>
            <b/>
            <sz val="9"/>
            <color indexed="81"/>
            <rFont val="Tahoma"/>
            <family val="2"/>
          </rPr>
          <t>Rob:</t>
        </r>
        <r>
          <rPr>
            <sz val="9"/>
            <color indexed="81"/>
            <rFont val="Tahoma"/>
            <family val="2"/>
          </rPr>
          <t xml:space="preserve">
United Parcel Service
5/2/2019 Bought 140 shares of UPS @105.1916 ($14,726.82)</t>
        </r>
      </text>
    </comment>
    <comment ref="GT14" authorId="1" shapeId="0" xr:uid="{DB65B916-09B5-44B4-87FB-1E021CEB5381}">
      <text>
        <r>
          <rPr>
            <b/>
            <sz val="9"/>
            <color indexed="81"/>
            <rFont val="Tahoma"/>
            <family val="2"/>
          </rPr>
          <t>Rob:</t>
        </r>
        <r>
          <rPr>
            <sz val="9"/>
            <color indexed="81"/>
            <rFont val="Tahoma"/>
            <family val="2"/>
          </rPr>
          <t xml:space="preserve">
Vanguard Developed Market ETF</t>
        </r>
      </text>
    </comment>
    <comment ref="GW14" authorId="1" shapeId="0" xr:uid="{5884CE30-CC27-4634-8E09-DBE13F9CCD4D}">
      <text>
        <r>
          <rPr>
            <b/>
            <sz val="9"/>
            <color indexed="81"/>
            <rFont val="Tahoma"/>
            <family val="2"/>
          </rPr>
          <t>Rob:</t>
        </r>
        <r>
          <rPr>
            <sz val="9"/>
            <color indexed="81"/>
            <rFont val="Tahoma"/>
            <family val="2"/>
          </rPr>
          <t xml:space="preserve">
Vanguard It'l Equity Index fund ETF</t>
        </r>
      </text>
    </comment>
    <comment ref="GX14" authorId="1" shapeId="0" xr:uid="{00000000-0006-0000-0000-000015000000}">
      <text>
        <r>
          <rPr>
            <b/>
            <sz val="9"/>
            <color indexed="81"/>
            <rFont val="Tahoma"/>
            <family val="2"/>
          </rPr>
          <t>Rob:</t>
        </r>
        <r>
          <rPr>
            <sz val="9"/>
            <color indexed="81"/>
            <rFont val="Tahoma"/>
            <family val="2"/>
          </rPr>
          <t xml:space="preserve">
Verizon</t>
        </r>
      </text>
    </comment>
    <comment ref="HG14" authorId="1" shapeId="0" xr:uid="{327B0CFE-7117-4CD2-A065-DD1D638AE0B1}">
      <text>
        <r>
          <rPr>
            <b/>
            <sz val="9"/>
            <color indexed="81"/>
            <rFont val="Tahoma"/>
            <family val="2"/>
          </rPr>
          <t>Rob:</t>
        </r>
        <r>
          <rPr>
            <sz val="9"/>
            <color indexed="81"/>
            <rFont val="Tahoma"/>
            <family val="2"/>
          </rPr>
          <t xml:space="preserve">
Fidelity Govt Money Market Acct
Changed to Fidelity Government Cash Reserves in Sep, 2018</t>
        </r>
      </text>
    </comment>
    <comment ref="HI14" authorId="3" shapeId="0" xr:uid="{3924E87A-FE1B-4CC0-8284-66C7DE5859D7}">
      <text>
        <t>[Threaded comment]
Your version of Excel allows you to read this threaded comment; however, any edits to it will get removed if the file is opened in a newer version of Excel. Learn more: https://go.microsoft.com/fwlink/?linkid=870924
Comment:
    ABBVIE Inc</t>
      </text>
    </comment>
    <comment ref="HK14" authorId="0" shapeId="0" xr:uid="{9FF9820D-8A5D-40DC-9625-6F6D30BBADEF}">
      <text>
        <r>
          <rPr>
            <b/>
            <sz val="9"/>
            <color indexed="81"/>
            <rFont val="Tahoma"/>
            <family val="2"/>
          </rPr>
          <t>Rob Squire:</t>
        </r>
        <r>
          <rPr>
            <sz val="9"/>
            <color indexed="81"/>
            <rFont val="Tahoma"/>
            <family val="2"/>
          </rPr>
          <t xml:space="preserve">
Air Products &amp; Chemicals</t>
        </r>
      </text>
    </comment>
    <comment ref="HN14" authorId="0" shapeId="0" xr:uid="{6EB12328-3102-4D26-BFB8-0B74982AF13B}">
      <text>
        <r>
          <rPr>
            <b/>
            <sz val="9"/>
            <color indexed="81"/>
            <rFont val="Tahoma"/>
            <family val="2"/>
          </rPr>
          <t>Rob Squire:</t>
        </r>
        <r>
          <rPr>
            <sz val="9"/>
            <color indexed="81"/>
            <rFont val="Tahoma"/>
            <family val="2"/>
          </rPr>
          <t xml:space="preserve">
Autozone</t>
        </r>
      </text>
    </comment>
    <comment ref="HO14" authorId="0" shapeId="0" xr:uid="{F5C734BF-52C4-4BFA-973A-E7634079DD1F}">
      <text>
        <r>
          <rPr>
            <b/>
            <sz val="9"/>
            <color indexed="81"/>
            <rFont val="Tahoma"/>
            <family val="2"/>
          </rPr>
          <t>Rob Squire:</t>
        </r>
        <r>
          <rPr>
            <sz val="9"/>
            <color indexed="81"/>
            <rFont val="Tahoma"/>
            <family val="2"/>
          </rPr>
          <t xml:space="preserve">
Bank of America</t>
        </r>
      </text>
    </comment>
    <comment ref="HP14" authorId="1" shapeId="0" xr:uid="{00000000-0006-0000-0000-00001B000000}">
      <text>
        <r>
          <rPr>
            <b/>
            <sz val="9"/>
            <color indexed="81"/>
            <rFont val="Tahoma"/>
            <family val="2"/>
          </rPr>
          <t>Rob:</t>
        </r>
        <r>
          <rPr>
            <sz val="9"/>
            <color indexed="81"/>
            <rFont val="Tahoma"/>
            <family val="2"/>
          </rPr>
          <t xml:space="preserve">
BCE Inc - Telecom company in Canada
The Canadian network services market is an oligopoly comprised of three firms. BCE Inc. (BCE) operates Bell Canada, one of the three national networks offering wireless services, broadband internet, cable, and fixed-line phone. BCE is the largest broadband internet provider with over 3.7 million subscribers. The company has 8.5 million wireless subscribers, second only to Rogers Communications. The Canadian government has been trying to incentivize a fourth national network operator to enter the market, but Verizon, who many thought may enter the Canadian market, has continuously told the Canadian government that they will not be entering the market. The government has also encouraged regional servicers to expand their coverage nationally. Thus far, those regional carriers have also refused to become that fourth national network, due to the large investment required. Despite Canada’s desire for a fourth national carrier, legislators refuse to use taxpayer dollars to pay for the investment that would ultimately work to the benefit of a private company. This lack of interest from the private market, and the government’s refusal to subsidize the investment that would be required, means that this market should continue to be dominated by BCE, Rogers and Telus for the foreseeable future. In addition to the positive competitive backdrop in Canada, BCE is currently trading at an attractive valuation. Our conservative discounted cash flow analysis suggests that the stock is currently trading below its intrinsic value. We believe BCE is well positioned to provide solid risk-adjusted returns for those investors that maintain a long-term holding period.</t>
        </r>
      </text>
    </comment>
    <comment ref="HR14" authorId="0" shapeId="0" xr:uid="{9ADFC5DD-BB54-43E0-BB8C-81196E56D269}">
      <text>
        <r>
          <rPr>
            <b/>
            <sz val="9"/>
            <color indexed="81"/>
            <rFont val="Tahoma"/>
            <family val="2"/>
          </rPr>
          <t>Rob Squire:</t>
        </r>
        <r>
          <rPr>
            <sz val="9"/>
            <color indexed="81"/>
            <rFont val="Tahoma"/>
            <family val="2"/>
          </rPr>
          <t xml:space="preserve">
Bank of New York Mellon Corp</t>
        </r>
      </text>
    </comment>
    <comment ref="HT14" authorId="1" shapeId="0" xr:uid="{00000000-0006-0000-0000-00001C000000}">
      <text>
        <r>
          <rPr>
            <b/>
            <sz val="9"/>
            <color indexed="81"/>
            <rFont val="Tahoma"/>
            <family val="2"/>
          </rPr>
          <t>Rob:</t>
        </r>
        <r>
          <rPr>
            <sz val="9"/>
            <color indexed="81"/>
            <rFont val="Tahoma"/>
            <family val="2"/>
          </rPr>
          <t xml:space="preserve">
Cerner (CERN) is one of the largest healthcare IT vendors in the country. The company helps clients manage their patient and practice information by offering services such as electronic health records (EHR), revenue cycle management software, and a software suite that helps hospitals manage their IT infrastructure. Cerner also offers a population health solution which helps healthcare providers anticipate the needs of their patient population and prepare the facility and workforce for those needs. Cerner’s clients include many types of healthcare providers such as hospitals, physician practices, labs, ambulatory centers, behavioral health centers, extended care facilities, retail pharmacies, and more.
Although Cerner has been recognized as a leading provider of healthcare technology for some time, their brand was recently strengthened with a pair of notable business wins. The US Department of Veterans Affairs (VA) awarded Cerner a highly sought after, no-bid contract which aligned the electronic health records of the DoD, which was already serviced by Cerner, and the VA. The contract is estimated to be worth over $10B. Amazon also recently announced that it has cut a deal to work with Cerner to provide its Population Health product on its cloud platform, AWS.
Having a US-centric client base means that Cerner will be a beneficiary of the recent tax bill. JPMorgan assumes Cerner’s effective tax rate will come down to 26.5% from the 30%-range it has had recently. Due to the relatively high switching costs of its products, we believe little, if any, of this economic benefit will be competed away over time. This helps support the valuation of the company, which we believe is undervalued at the current level. We believe current prices reflect an attractive entry point for shareholders willing to maintain a 3 to 5-year investment timeframe.
</t>
        </r>
      </text>
    </comment>
    <comment ref="HZ14" authorId="0" shapeId="0" xr:uid="{165DD384-9922-44C3-BBBA-7AB17D4ECE6E}">
      <text>
        <r>
          <rPr>
            <b/>
            <sz val="9"/>
            <color indexed="81"/>
            <rFont val="Tahoma"/>
            <family val="2"/>
          </rPr>
          <t>Rob Squire:</t>
        </r>
        <r>
          <rPr>
            <sz val="9"/>
            <color indexed="81"/>
            <rFont val="Tahoma"/>
            <family val="2"/>
          </rPr>
          <t xml:space="preserve">
Cisco</t>
        </r>
      </text>
    </comment>
    <comment ref="IA14" authorId="0" shapeId="0" xr:uid="{08F4F924-CCDB-45F3-B87D-56544470C0DC}">
      <text>
        <r>
          <rPr>
            <b/>
            <sz val="9"/>
            <color indexed="81"/>
            <rFont val="Tahoma"/>
            <family val="2"/>
          </rPr>
          <t>Rob Squire:</t>
        </r>
        <r>
          <rPr>
            <sz val="9"/>
            <color indexed="81"/>
            <rFont val="Tahoma"/>
            <family val="2"/>
          </rPr>
          <t xml:space="preserve">
Cognizant Technologies</t>
        </r>
      </text>
    </comment>
    <comment ref="IC14" authorId="1" shapeId="0" xr:uid="{00000000-0006-0000-0000-00001D000000}">
      <text>
        <r>
          <rPr>
            <b/>
            <sz val="9"/>
            <color indexed="81"/>
            <rFont val="Tahoma"/>
            <family val="2"/>
          </rPr>
          <t>Rob:</t>
        </r>
        <r>
          <rPr>
            <sz val="9"/>
            <color indexed="81"/>
            <rFont val="Tahoma"/>
            <family val="2"/>
          </rPr>
          <t xml:space="preserve">
Quest Diagnostics 
Quest Diagnostics Inc. (DGX) is the world’s leading provider of diagnostic information services to the medical community. The company performs a variety of diagnostic lab tests on behalf of clinicians, hospitals, insurance companies, the US Government and private employers. The company performs both routine lab tests, and more complex tests, such as genetic panels. The company is one of two national labs in the United States, the other being LabCorp. The high volume of tests performed on a national level by Quest allows the company to run their labs at a high utilization, making the average cost of producing their service lower than their competition. Despite their cost advantage, together LabCorp and Quest still only have 25% market share, as per Quest’s estimates. This fragmented market provides an opportunity for Quest to continue to take market share from smaller regional players and the hospitals that continue to run their own labs at a loss. At a conference earlier this year, management stated that there is a “deep pipeline” of interested parties that may look to sell their lab operations to Quest. In addition, some hospitals are looking to maintain the ownership of their labs, but bring in a company such as Quest to run them more efficiently. Quest has been providing those services to hospitals, and that business is gaining momentum. In addition to the fundamental story, we believe the company is currently trading at a discount to its intrinsic value. Given the relatively strong market position, and attractive valuation, we believe the stock is poised to provide a solid risk-adjusted return for shareholders over a 3 to 5-year period.</t>
        </r>
      </text>
    </comment>
    <comment ref="ID14" authorId="1" shapeId="0" xr:uid="{00000000-0006-0000-0000-00001E000000}">
      <text>
        <r>
          <rPr>
            <b/>
            <sz val="9"/>
            <color indexed="81"/>
            <rFont val="Tahoma"/>
            <family val="2"/>
          </rPr>
          <t>Rob:</t>
        </r>
        <r>
          <rPr>
            <sz val="9"/>
            <color indexed="81"/>
            <rFont val="Tahoma"/>
            <family val="2"/>
          </rPr>
          <t xml:space="preserve">
Disney</t>
        </r>
      </text>
    </comment>
    <comment ref="IE14" authorId="0" shapeId="0" xr:uid="{CE5666D9-4749-48CD-B94C-81B0A91EC8B3}">
      <text>
        <r>
          <rPr>
            <b/>
            <sz val="9"/>
            <color indexed="81"/>
            <rFont val="Tahoma"/>
            <family val="2"/>
          </rPr>
          <t>Rob Squire:</t>
        </r>
        <r>
          <rPr>
            <sz val="9"/>
            <color indexed="81"/>
            <rFont val="Tahoma"/>
            <family val="2"/>
          </rPr>
          <t xml:space="preserve">
Electronic Arts</t>
        </r>
      </text>
    </comment>
    <comment ref="IF14" authorId="0" shapeId="0" xr:uid="{B1497ECB-227E-4C5B-9051-A0B3A674C5F1}">
      <text>
        <r>
          <rPr>
            <b/>
            <sz val="9"/>
            <color indexed="81"/>
            <rFont val="Tahoma"/>
            <family val="2"/>
          </rPr>
          <t>Rob Squire:</t>
        </r>
        <r>
          <rPr>
            <sz val="9"/>
            <color indexed="81"/>
            <rFont val="Tahoma"/>
            <family val="2"/>
          </rPr>
          <t xml:space="preserve">
12/2/2019 Bought 550 shares EBAY @35.0175 ($19,259.63)</t>
        </r>
      </text>
    </comment>
    <comment ref="IH14" authorId="0" shapeId="0" xr:uid="{7AE97FF5-686D-49F5-82B0-1C1E55E61444}">
      <text>
        <r>
          <rPr>
            <b/>
            <sz val="9"/>
            <color indexed="81"/>
            <rFont val="Tahoma"/>
            <family val="2"/>
          </rPr>
          <t>Rob Squire:</t>
        </r>
        <r>
          <rPr>
            <sz val="9"/>
            <color indexed="81"/>
            <rFont val="Tahoma"/>
            <family val="2"/>
          </rPr>
          <t xml:space="preserve">
Facebook</t>
        </r>
      </text>
    </comment>
    <comment ref="IJ14" authorId="0" shapeId="0" xr:uid="{EA919026-6963-4248-928D-1E66A598D9EC}">
      <text>
        <r>
          <rPr>
            <b/>
            <sz val="9"/>
            <color indexed="81"/>
            <rFont val="Tahoma"/>
            <family val="2"/>
          </rPr>
          <t>Rob Squire:</t>
        </r>
        <r>
          <rPr>
            <sz val="9"/>
            <color indexed="81"/>
            <rFont val="Tahoma"/>
            <family val="2"/>
          </rPr>
          <t xml:space="preserve">
General Dynamics</t>
        </r>
      </text>
    </comment>
    <comment ref="IP14" authorId="0" shapeId="0" xr:uid="{E52F53A1-DA6B-4444-91AD-6816256BCA3B}">
      <text>
        <r>
          <rPr>
            <b/>
            <sz val="9"/>
            <color indexed="81"/>
            <rFont val="Tahoma"/>
            <family val="2"/>
          </rPr>
          <t>Rob Squire:</t>
        </r>
        <r>
          <rPr>
            <sz val="9"/>
            <color indexed="81"/>
            <rFont val="Tahoma"/>
            <family val="2"/>
          </rPr>
          <t xml:space="preserve">
Home Depot</t>
        </r>
      </text>
    </comment>
    <comment ref="IR14" authorId="1" shapeId="0" xr:uid="{00000000-0006-0000-0000-00001F000000}">
      <text>
        <r>
          <rPr>
            <b/>
            <sz val="9"/>
            <color indexed="81"/>
            <rFont val="Tahoma"/>
            <family val="2"/>
          </rPr>
          <t>Rob:</t>
        </r>
        <r>
          <rPr>
            <sz val="9"/>
            <color indexed="81"/>
            <rFont val="Tahoma"/>
            <family val="2"/>
          </rPr>
          <t xml:space="preserve">
ISHARES Mid Cap ETF</t>
        </r>
      </text>
    </comment>
    <comment ref="IS14" authorId="1" shapeId="0" xr:uid="{00000000-0006-0000-0000-000020000000}">
      <text>
        <r>
          <rPr>
            <b/>
            <sz val="9"/>
            <color indexed="81"/>
            <rFont val="Tahoma"/>
            <family val="2"/>
          </rPr>
          <t>Rob:</t>
        </r>
        <r>
          <rPr>
            <sz val="9"/>
            <color indexed="81"/>
            <rFont val="Tahoma"/>
            <family val="2"/>
          </rPr>
          <t xml:space="preserve">
ISHARES Small Cap ETF</t>
        </r>
      </text>
    </comment>
    <comment ref="IT14" authorId="1" shapeId="0" xr:uid="{00000000-0006-0000-0000-000021000000}">
      <text>
        <r>
          <rPr>
            <b/>
            <sz val="9"/>
            <color indexed="81"/>
            <rFont val="Tahoma"/>
            <family val="2"/>
          </rPr>
          <t>Rob:</t>
        </r>
        <r>
          <rPr>
            <sz val="9"/>
            <color indexed="81"/>
            <rFont val="Tahoma"/>
            <family val="2"/>
          </rPr>
          <t xml:space="preserve">
Intel</t>
        </r>
      </text>
    </comment>
    <comment ref="IU14" authorId="1" shapeId="0" xr:uid="{00000000-0006-0000-0000-000022000000}">
      <text>
        <r>
          <rPr>
            <b/>
            <sz val="9"/>
            <color indexed="81"/>
            <rFont val="Tahoma"/>
            <family val="2"/>
          </rPr>
          <t>Rob:</t>
        </r>
        <r>
          <rPr>
            <sz val="9"/>
            <color indexed="81"/>
            <rFont val="Tahoma"/>
            <family val="2"/>
          </rPr>
          <t xml:space="preserve">
ISHARES S&amp;P500 ETF</t>
        </r>
      </text>
    </comment>
    <comment ref="IX14" authorId="1" shapeId="0" xr:uid="{00000000-0006-0000-0000-000023000000}">
      <text>
        <r>
          <rPr>
            <b/>
            <sz val="9"/>
            <color indexed="81"/>
            <rFont val="Tahoma"/>
            <family val="2"/>
          </rPr>
          <t>Rob:</t>
        </r>
        <r>
          <rPr>
            <sz val="9"/>
            <color indexed="81"/>
            <rFont val="Tahoma"/>
            <family val="2"/>
          </rPr>
          <t xml:space="preserve">
JP Morgan</t>
        </r>
      </text>
    </comment>
    <comment ref="IY14" authorId="0" shapeId="0" xr:uid="{763AE716-C25A-4295-8C11-2CFE45228A84}">
      <text>
        <r>
          <rPr>
            <b/>
            <sz val="9"/>
            <color indexed="81"/>
            <rFont val="Tahoma"/>
            <family val="2"/>
          </rPr>
          <t>Rob Squire:</t>
        </r>
        <r>
          <rPr>
            <sz val="9"/>
            <color indexed="81"/>
            <rFont val="Tahoma"/>
            <family val="2"/>
          </rPr>
          <t xml:space="preserve">
Kimberly Clark</t>
        </r>
      </text>
    </comment>
    <comment ref="JE14" authorId="0" shapeId="0" xr:uid="{006BBD58-F88B-4E36-BF26-A758DA41E06E}">
      <text>
        <r>
          <rPr>
            <b/>
            <sz val="9"/>
            <color indexed="81"/>
            <rFont val="Tahoma"/>
            <family val="2"/>
          </rPr>
          <t>Rob Squire:</t>
        </r>
        <r>
          <rPr>
            <sz val="9"/>
            <color indexed="81"/>
            <rFont val="Tahoma"/>
            <family val="2"/>
          </rPr>
          <t xml:space="preserve">
Lululemon Athletica Inc
Sells athletic clothing</t>
        </r>
      </text>
    </comment>
    <comment ref="JF14" authorId="0" shapeId="0" xr:uid="{D3A5AAFA-6ED5-4EFA-9F22-FB0044D0DBB1}">
      <text>
        <r>
          <rPr>
            <b/>
            <sz val="9"/>
            <color indexed="81"/>
            <rFont val="Tahoma"/>
            <family val="2"/>
          </rPr>
          <t>Rob Squire:</t>
        </r>
        <r>
          <rPr>
            <sz val="9"/>
            <color indexed="81"/>
            <rFont val="Tahoma"/>
            <family val="2"/>
          </rPr>
          <t xml:space="preserve">
LYB - Lyondellbasell Industries NV
Worldwide chemical company headquartered in London</t>
        </r>
      </text>
    </comment>
    <comment ref="JI14" authorId="0" shapeId="0" xr:uid="{A6B072DE-50F0-465F-9321-5926484DE56F}">
      <text>
        <r>
          <rPr>
            <b/>
            <sz val="9"/>
            <color indexed="81"/>
            <rFont val="Tahoma"/>
            <family val="2"/>
          </rPr>
          <t>Rob Squire:</t>
        </r>
        <r>
          <rPr>
            <sz val="9"/>
            <color indexed="81"/>
            <rFont val="Tahoma"/>
            <family val="2"/>
          </rPr>
          <t xml:space="preserve">
Mckesson Corp</t>
        </r>
      </text>
    </comment>
    <comment ref="JK14" authorId="0" shapeId="0" xr:uid="{9B528D15-1323-4B8E-9B4E-1D9B2376FD7E}">
      <text>
        <r>
          <rPr>
            <b/>
            <sz val="9"/>
            <color indexed="81"/>
            <rFont val="Tahoma"/>
            <family val="2"/>
          </rPr>
          <t>Rob Squire:</t>
        </r>
        <r>
          <rPr>
            <sz val="9"/>
            <color indexed="81"/>
            <rFont val="Tahoma"/>
            <family val="2"/>
          </rPr>
          <t xml:space="preserve">
3M</t>
        </r>
      </text>
    </comment>
    <comment ref="JL14" authorId="1" shapeId="0" xr:uid="{00000000-0006-0000-0000-000024000000}">
      <text>
        <r>
          <rPr>
            <b/>
            <sz val="9"/>
            <color indexed="81"/>
            <rFont val="Tahoma"/>
            <family val="2"/>
          </rPr>
          <t>Rob:</t>
        </r>
        <r>
          <rPr>
            <sz val="9"/>
            <color indexed="81"/>
            <rFont val="Tahoma"/>
            <family val="2"/>
          </rPr>
          <t xml:space="preserve">
Merck</t>
        </r>
      </text>
    </comment>
    <comment ref="JO14" authorId="1" shapeId="0" xr:uid="{00000000-0006-0000-0000-000025000000}">
      <text>
        <r>
          <rPr>
            <b/>
            <sz val="9"/>
            <color indexed="81"/>
            <rFont val="Tahoma"/>
            <family val="2"/>
          </rPr>
          <t>Rob:</t>
        </r>
        <r>
          <rPr>
            <sz val="9"/>
            <color indexed="81"/>
            <rFont val="Tahoma"/>
            <family val="2"/>
          </rPr>
          <t xml:space="preserve">
Nat'l Oilwell Varco</t>
        </r>
      </text>
    </comment>
    <comment ref="JP14" authorId="4" shapeId="0" xr:uid="{8531775E-BFF8-4DD4-BBF1-51D13C491A5F}">
      <text>
        <t>[Threaded comment]
Your version of Excel allows you to read this threaded comment; however, any edits to it will get removed if the file is opened in a newer version of Excel. Learn more: https://go.microsoft.com/fwlink/?linkid=870924
Comment:
    Organon &amp; Co</t>
      </text>
    </comment>
    <comment ref="JQ14" authorId="0" shapeId="0" xr:uid="{CCACB451-F4AD-45B2-8B3E-E7A2FDC45C96}">
      <text>
        <r>
          <rPr>
            <b/>
            <sz val="9"/>
            <color indexed="81"/>
            <rFont val="Tahoma"/>
            <family val="2"/>
          </rPr>
          <t>Rob Squire:</t>
        </r>
        <r>
          <rPr>
            <sz val="9"/>
            <color indexed="81"/>
            <rFont val="Tahoma"/>
            <family val="2"/>
          </rPr>
          <t xml:space="preserve">
Oracle</t>
        </r>
      </text>
    </comment>
    <comment ref="JR14" authorId="0" shapeId="0" xr:uid="{28EA2A7C-3CAA-4FB7-85E1-2315DC25B884}">
      <text>
        <r>
          <rPr>
            <b/>
            <sz val="9"/>
            <color indexed="81"/>
            <rFont val="Tahoma"/>
            <family val="2"/>
          </rPr>
          <t>Rob Squire:</t>
        </r>
        <r>
          <rPr>
            <sz val="9"/>
            <color indexed="81"/>
            <rFont val="Tahoma"/>
            <family val="2"/>
          </rPr>
          <t xml:space="preserve">
Procter &amp; Gamble</t>
        </r>
      </text>
    </comment>
    <comment ref="JT14" authorId="0" shapeId="0" xr:uid="{5E04CBC7-DA49-4176-8985-C41ADCDBAAE7}">
      <text>
        <r>
          <rPr>
            <b/>
            <sz val="9"/>
            <color indexed="81"/>
            <rFont val="Tahoma"/>
            <family val="2"/>
          </rPr>
          <t>Rob Squire:</t>
        </r>
        <r>
          <rPr>
            <sz val="9"/>
            <color indexed="81"/>
            <rFont val="Tahoma"/>
            <family val="2"/>
          </rPr>
          <t xml:space="preserve">
Starbucks</t>
        </r>
      </text>
    </comment>
    <comment ref="JU14" authorId="0" shapeId="0" xr:uid="{17618837-E9C6-43DD-8D03-A53069529546}">
      <text>
        <r>
          <rPr>
            <b/>
            <sz val="9"/>
            <color indexed="81"/>
            <rFont val="Tahoma"/>
            <family val="2"/>
          </rPr>
          <t>Rob Squire:</t>
        </r>
        <r>
          <rPr>
            <sz val="9"/>
            <color indexed="81"/>
            <rFont val="Tahoma"/>
            <family val="2"/>
          </rPr>
          <t xml:space="preserve">
Schlumberger Limited supplies technology for reservoir characterization, drilling, production, and processing to the oil and gas industry worldwide. 
Initial purchase was 375 shares @32.5857 ($12,219.64)</t>
        </r>
      </text>
    </comment>
    <comment ref="JX14" authorId="0" shapeId="0" xr:uid="{F6E89E32-A2BD-49B9-B4DA-1731FF7800DE}">
      <text>
        <r>
          <rPr>
            <b/>
            <sz val="9"/>
            <color indexed="81"/>
            <rFont val="Tahoma"/>
            <family val="2"/>
          </rPr>
          <t>Rob Squire:</t>
        </r>
        <r>
          <rPr>
            <sz val="9"/>
            <color indexed="81"/>
            <rFont val="Tahoma"/>
            <family val="2"/>
          </rPr>
          <t xml:space="preserve">
United Healthcare</t>
        </r>
      </text>
    </comment>
    <comment ref="JZ14" authorId="0" shapeId="0" xr:uid="{04A4FF06-AACE-495D-AA3C-18D371EEF66F}">
      <text>
        <r>
          <rPr>
            <b/>
            <sz val="9"/>
            <color indexed="81"/>
            <rFont val="Tahoma"/>
            <family val="2"/>
          </rPr>
          <t>Rob Squire:</t>
        </r>
        <r>
          <rPr>
            <sz val="9"/>
            <color indexed="81"/>
            <rFont val="Tahoma"/>
            <family val="2"/>
          </rPr>
          <t xml:space="preserve">
UPS</t>
        </r>
      </text>
    </comment>
    <comment ref="KA14" authorId="1" shapeId="0" xr:uid="{B77E5A5B-18B4-4E08-854C-C1AFFD6E074F}">
      <text>
        <r>
          <rPr>
            <b/>
            <sz val="9"/>
            <color indexed="81"/>
            <rFont val="Tahoma"/>
            <family val="2"/>
          </rPr>
          <t>Rob:</t>
        </r>
        <r>
          <rPr>
            <sz val="9"/>
            <color indexed="81"/>
            <rFont val="Tahoma"/>
            <family val="2"/>
          </rPr>
          <t xml:space="preserve">
US Bancorp.  
11/1/2018 GGS bought 275 shares of US Bankcorp (USD) @ 52.135 ($14,337.13)</t>
        </r>
      </text>
    </comment>
    <comment ref="KD14" authorId="1" shapeId="0" xr:uid="{00000000-0006-0000-0000-000026000000}">
      <text>
        <r>
          <rPr>
            <b/>
            <sz val="9"/>
            <color indexed="81"/>
            <rFont val="Tahoma"/>
            <family val="2"/>
          </rPr>
          <t>Rob:</t>
        </r>
        <r>
          <rPr>
            <sz val="9"/>
            <color indexed="81"/>
            <rFont val="Tahoma"/>
            <family val="2"/>
          </rPr>
          <t xml:space="preserve">
Vanguard Materials Sector Fund</t>
        </r>
      </text>
    </comment>
    <comment ref="KE14" authorId="1" shapeId="0" xr:uid="{00000000-0006-0000-0000-000027000000}">
      <text>
        <r>
          <rPr>
            <b/>
            <sz val="9"/>
            <color indexed="81"/>
            <rFont val="Tahoma"/>
            <family val="2"/>
          </rPr>
          <t>Rob:</t>
        </r>
        <r>
          <rPr>
            <sz val="9"/>
            <color indexed="81"/>
            <rFont val="Tahoma"/>
            <family val="2"/>
          </rPr>
          <t xml:space="preserve">
Vanguard Consumer Staples sector fund</t>
        </r>
      </text>
    </comment>
    <comment ref="KF14" authorId="1" shapeId="0" xr:uid="{00000000-0006-0000-0000-000028000000}">
      <text>
        <r>
          <rPr>
            <b/>
            <sz val="9"/>
            <color indexed="81"/>
            <rFont val="Tahoma"/>
            <family val="2"/>
          </rPr>
          <t>Rob:</t>
        </r>
        <r>
          <rPr>
            <sz val="9"/>
            <color indexed="81"/>
            <rFont val="Tahoma"/>
            <family val="2"/>
          </rPr>
          <t xml:space="preserve">
Vanguard Energy sector fund</t>
        </r>
      </text>
    </comment>
    <comment ref="KH14" authorId="1" shapeId="0" xr:uid="{00000000-0006-0000-0000-000029000000}">
      <text>
        <r>
          <rPr>
            <b/>
            <sz val="9"/>
            <color indexed="81"/>
            <rFont val="Tahoma"/>
            <family val="2"/>
          </rPr>
          <t>Rob:</t>
        </r>
        <r>
          <rPr>
            <sz val="9"/>
            <color indexed="81"/>
            <rFont val="Tahoma"/>
            <family val="2"/>
          </rPr>
          <t xml:space="preserve">
Vanguard Healthcare sector fund</t>
        </r>
      </text>
    </comment>
    <comment ref="KJ14" authorId="1" shapeId="0" xr:uid="{00000000-0006-0000-0000-00002A000000}">
      <text>
        <r>
          <rPr>
            <b/>
            <sz val="9"/>
            <color indexed="81"/>
            <rFont val="Tahoma"/>
            <family val="2"/>
          </rPr>
          <t>Rob:</t>
        </r>
        <r>
          <rPr>
            <sz val="9"/>
            <color indexed="81"/>
            <rFont val="Tahoma"/>
            <family val="2"/>
          </rPr>
          <t xml:space="preserve">
Vanguard Industrialss sector fund</t>
        </r>
      </text>
    </comment>
    <comment ref="KK14" authorId="1" shapeId="0" xr:uid="{00000000-0006-0000-0000-00002B000000}">
      <text>
        <r>
          <rPr>
            <b/>
            <sz val="9"/>
            <color indexed="81"/>
            <rFont val="Tahoma"/>
            <family val="2"/>
          </rPr>
          <t>Rob:</t>
        </r>
        <r>
          <rPr>
            <sz val="9"/>
            <color indexed="81"/>
            <rFont val="Tahoma"/>
            <family val="2"/>
          </rPr>
          <t xml:space="preserve">
Valero</t>
        </r>
      </text>
    </comment>
    <comment ref="KL14" authorId="1" shapeId="0" xr:uid="{00000000-0006-0000-0000-00002C000000}">
      <text>
        <r>
          <rPr>
            <b/>
            <sz val="9"/>
            <color indexed="81"/>
            <rFont val="Tahoma"/>
            <family val="2"/>
          </rPr>
          <t>Rob:</t>
        </r>
        <r>
          <rPr>
            <sz val="9"/>
            <color indexed="81"/>
            <rFont val="Tahoma"/>
            <family val="2"/>
          </rPr>
          <t xml:space="preserve">
Vanguard REIT ETF</t>
        </r>
      </text>
    </comment>
    <comment ref="KM14" authorId="1" shapeId="0" xr:uid="{00000000-0006-0000-0000-00002D000000}">
      <text>
        <r>
          <rPr>
            <b/>
            <sz val="9"/>
            <color indexed="81"/>
            <rFont val="Tahoma"/>
            <family val="2"/>
          </rPr>
          <t>Rob:</t>
        </r>
        <r>
          <rPr>
            <sz val="9"/>
            <color indexed="81"/>
            <rFont val="Tahoma"/>
            <family val="2"/>
          </rPr>
          <t xml:space="preserve">
Vanguard Utilities sector fund</t>
        </r>
      </text>
    </comment>
    <comment ref="KP14" authorId="1" shapeId="0" xr:uid="{00000000-0006-0000-0000-00002E000000}">
      <text>
        <r>
          <rPr>
            <b/>
            <sz val="9"/>
            <color indexed="81"/>
            <rFont val="Tahoma"/>
            <family val="2"/>
          </rPr>
          <t>Rob:</t>
        </r>
        <r>
          <rPr>
            <sz val="9"/>
            <color indexed="81"/>
            <rFont val="Tahoma"/>
            <family val="2"/>
          </rPr>
          <t xml:space="preserve">
Wells Fargo preferred stock</t>
        </r>
      </text>
    </comment>
    <comment ref="KQ14" authorId="0" shapeId="0" xr:uid="{F2487C17-231A-4693-A58E-0F824307BD9D}">
      <text>
        <r>
          <rPr>
            <b/>
            <sz val="9"/>
            <color indexed="81"/>
            <rFont val="Tahoma"/>
            <family val="2"/>
          </rPr>
          <t>Rob Squire:</t>
        </r>
        <r>
          <rPr>
            <sz val="9"/>
            <color indexed="81"/>
            <rFont val="Tahoma"/>
            <family val="2"/>
          </rPr>
          <t xml:space="preserve">
Waste Management</t>
        </r>
      </text>
    </comment>
    <comment ref="KR14" authorId="0" shapeId="0" xr:uid="{6BB229AE-7109-4462-A80D-F7367AEDE1A6}">
      <text>
        <r>
          <rPr>
            <b/>
            <sz val="9"/>
            <color indexed="81"/>
            <rFont val="Tahoma"/>
            <family val="2"/>
          </rPr>
          <t>Rob Squire:</t>
        </r>
        <r>
          <rPr>
            <sz val="9"/>
            <color indexed="81"/>
            <rFont val="Tahoma"/>
            <family val="2"/>
          </rPr>
          <t xml:space="preserve">
Select SPDR Energy</t>
        </r>
      </text>
    </comment>
    <comment ref="KS14" authorId="1" shapeId="0" xr:uid="{00000000-0006-0000-0000-00002F000000}">
      <text>
        <r>
          <rPr>
            <b/>
            <sz val="9"/>
            <color indexed="81"/>
            <rFont val="Tahoma"/>
            <family val="2"/>
          </rPr>
          <t>Rob:</t>
        </r>
        <r>
          <rPr>
            <sz val="9"/>
            <color indexed="81"/>
            <rFont val="Tahoma"/>
            <family val="2"/>
          </rPr>
          <t xml:space="preserve">
Financial Select Sector ETF
It's a capitalization-weighted non-leveraged passively manage equity ETF with the benchmark index of S&amp;P financial Select Sector index.  
Geographicly weithted toward US
Sector weighted toward Financial sector</t>
        </r>
      </text>
    </comment>
    <comment ref="KT14" authorId="0" shapeId="0" xr:uid="{72576512-9BAC-4A30-AF83-05C455CED2FE}">
      <text>
        <r>
          <rPr>
            <b/>
            <sz val="9"/>
            <color indexed="81"/>
            <rFont val="Tahoma"/>
            <family val="2"/>
          </rPr>
          <t>Rob Squire:</t>
        </r>
        <r>
          <rPr>
            <sz val="9"/>
            <color indexed="81"/>
            <rFont val="Tahoma"/>
            <family val="2"/>
          </rPr>
          <t xml:space="preserve">
Exxon</t>
        </r>
      </text>
    </comment>
    <comment ref="LG14" authorId="5" shapeId="0" xr:uid="{0FB4AF1D-542F-409F-BA76-8851B58B9033}">
      <text>
        <t>[Threaded comment]
Your version of Excel allows you to read this threaded comment; however, any edits to it will get removed if the file is opened in a newer version of Excel. Learn more: https://go.microsoft.com/fwlink/?linkid=870924
Comment:
    ISHARES Core Aggregate Bond ETF</t>
      </text>
    </comment>
    <comment ref="LJ14" authorId="0" shapeId="0" xr:uid="{107C70E6-A063-4494-8309-1AFD779C3610}">
      <text>
        <r>
          <rPr>
            <b/>
            <sz val="9"/>
            <color indexed="81"/>
            <rFont val="Tahoma"/>
            <family val="2"/>
          </rPr>
          <t>Rob Squire:</t>
        </r>
        <r>
          <rPr>
            <sz val="9"/>
            <color indexed="81"/>
            <rFont val="Tahoma"/>
            <family val="2"/>
          </rPr>
          <t xml:space="preserve">
PMORGAN BETABUILDERS USD HIGH YIELD CORP BD ETF.  The ticker symbol was JPHY until ~Feb 1, 2023 when it changed to BBHY</t>
        </r>
      </text>
    </comment>
    <comment ref="LL14" authorId="0" shapeId="0" xr:uid="{516BFEC1-C40D-4F0E-8D4F-42E1D28DE3E7}">
      <text>
        <r>
          <rPr>
            <b/>
            <sz val="9"/>
            <color indexed="81"/>
            <rFont val="Tahoma"/>
            <family val="2"/>
          </rPr>
          <t>Rob Squire:</t>
        </r>
        <r>
          <rPr>
            <sz val="9"/>
            <color indexed="81"/>
            <rFont val="Tahoma"/>
            <family val="2"/>
          </rPr>
          <t xml:space="preserve">
Vanguard Int Term Bond ETF</t>
        </r>
      </text>
    </comment>
    <comment ref="NC14" authorId="0" shapeId="0" xr:uid="{90B79151-FBD5-4301-9C49-1060C9EA0ED4}">
      <text>
        <r>
          <rPr>
            <b/>
            <sz val="9"/>
            <color indexed="81"/>
            <rFont val="Tahoma"/>
            <family val="2"/>
          </rPr>
          <t>Rob Squire:</t>
        </r>
        <r>
          <rPr>
            <sz val="9"/>
            <color indexed="81"/>
            <rFont val="Tahoma"/>
            <family val="2"/>
          </rPr>
          <t xml:space="preserve">
Vanguard Int Term Corporate bond ETF</t>
        </r>
      </text>
    </comment>
    <comment ref="ND14" authorId="0" shapeId="0" xr:uid="{5282202A-5E93-4C96-8E70-011C6EF570DE}">
      <text>
        <r>
          <rPr>
            <b/>
            <sz val="9"/>
            <color indexed="81"/>
            <rFont val="Tahoma"/>
            <family val="2"/>
          </rPr>
          <t>Rob Squire:</t>
        </r>
        <r>
          <rPr>
            <sz val="9"/>
            <color indexed="81"/>
            <rFont val="Tahoma"/>
            <family val="2"/>
          </rPr>
          <t xml:space="preserve">
Vanguard Scottsdale FDS Long Term Corp Bonc IDX Fund</t>
        </r>
      </text>
    </comment>
    <comment ref="NF14" authorId="0" shapeId="0" xr:uid="{DD1D623D-0007-4BF8-94E8-BC2DF7E37932}">
      <text>
        <r>
          <rPr>
            <b/>
            <sz val="9"/>
            <color indexed="81"/>
            <rFont val="Tahoma"/>
            <family val="2"/>
          </rPr>
          <t>Rob Squire:</t>
        </r>
        <r>
          <rPr>
            <sz val="9"/>
            <color indexed="81"/>
            <rFont val="Tahoma"/>
            <family val="2"/>
          </rPr>
          <t xml:space="preserve">
Vanguard Short Term Corporatee Bond IDX Fund</t>
        </r>
      </text>
    </comment>
    <comment ref="NG14" authorId="0" shapeId="0" xr:uid="{FC57ACA9-8BD7-4F6B-A301-9A5BD2873831}">
      <text>
        <r>
          <rPr>
            <b/>
            <sz val="9"/>
            <color indexed="81"/>
            <rFont val="Tahoma"/>
            <family val="2"/>
          </rPr>
          <t>Rob Squire:</t>
        </r>
        <r>
          <rPr>
            <sz val="9"/>
            <color indexed="81"/>
            <rFont val="Tahoma"/>
            <family val="2"/>
          </rPr>
          <t xml:space="preserve">
Vanguard Tax Managed Intl F FTSE Dev Mkt ETF</t>
        </r>
      </text>
    </comment>
    <comment ref="NH14" authorId="0" shapeId="0" xr:uid="{3EE746F1-3B70-499D-8FFE-02549BB54D1C}">
      <text>
        <r>
          <rPr>
            <b/>
            <sz val="9"/>
            <color indexed="81"/>
            <rFont val="Tahoma"/>
            <family val="2"/>
          </rPr>
          <t>Rob Squire:</t>
        </r>
        <r>
          <rPr>
            <sz val="9"/>
            <color indexed="81"/>
            <rFont val="Tahoma"/>
            <family val="2"/>
          </rPr>
          <t xml:space="preserve">
Vanguard Real Estate ETF</t>
        </r>
      </text>
    </comment>
    <comment ref="NI14" authorId="0" shapeId="0" xr:uid="{A76EAB8E-40D2-4F53-B8D4-04DE687D39E3}">
      <text>
        <r>
          <rPr>
            <b/>
            <sz val="9"/>
            <color indexed="81"/>
            <rFont val="Tahoma"/>
            <family val="2"/>
          </rPr>
          <t>Rob Squire:</t>
        </r>
        <r>
          <rPr>
            <sz val="9"/>
            <color indexed="81"/>
            <rFont val="Tahoma"/>
            <family val="2"/>
          </rPr>
          <t xml:space="preserve">
Vanguard Ultra Short Bond ETF</t>
        </r>
      </text>
    </comment>
    <comment ref="NW14" authorId="0" shapeId="0" xr:uid="{36029748-29A7-4839-A63D-C64B33AE0EA8}">
      <text>
        <r>
          <rPr>
            <b/>
            <sz val="9"/>
            <color indexed="81"/>
            <rFont val="Tahoma"/>
            <family val="2"/>
          </rPr>
          <t>Rob Squire:</t>
        </r>
        <r>
          <rPr>
            <sz val="9"/>
            <color indexed="81"/>
            <rFont val="Tahoma"/>
            <family val="2"/>
          </rPr>
          <t xml:space="preserve">
The fund may invest up to 60% of its assets in equity securities and up to 100% of its assets in fixed income securities. It may also gain exposure to such equity securities and fixed-income securities by investing in BlackRock equity and/or fixed income mutual funds ("underlying funds") and affiliated and unaffiliated ETFs. The fund may also invest up to 15% of its assets in collateralized debt obligations ("CDOs"), including collateralized loan obligations ("CLOs").
1/14/2020 Bought 2,497.738 shares @ 11.05 ($27,600)</t>
        </r>
      </text>
    </comment>
    <comment ref="NX14" authorId="1" shapeId="0" xr:uid="{00000000-0006-0000-0000-000030000000}">
      <text>
        <r>
          <rPr>
            <b/>
            <sz val="9"/>
            <color indexed="81"/>
            <rFont val="Tahoma"/>
            <family val="2"/>
          </rPr>
          <t>Rob:</t>
        </r>
        <r>
          <rPr>
            <sz val="9"/>
            <color indexed="81"/>
            <rFont val="Tahoma"/>
            <family val="2"/>
          </rPr>
          <t xml:space="preserve">
Dreihaus Emerging Markets</t>
        </r>
      </text>
    </comment>
    <comment ref="NY14" authorId="0" shapeId="0" xr:uid="{5F522FE2-A025-4E18-B7A2-41977680161B}">
      <text>
        <r>
          <rPr>
            <b/>
            <sz val="9"/>
            <color indexed="81"/>
            <rFont val="Tahoma"/>
            <family val="2"/>
          </rPr>
          <t>Rob Squire:</t>
        </r>
        <r>
          <rPr>
            <sz val="9"/>
            <color indexed="81"/>
            <rFont val="Tahoma"/>
            <family val="2"/>
          </rPr>
          <t xml:space="preserve">
Fidelity Short Term Bond Fund</t>
        </r>
      </text>
    </comment>
    <comment ref="NZ14" authorId="1" shapeId="0" xr:uid="{00000000-0006-0000-0000-000031000000}">
      <text>
        <r>
          <rPr>
            <b/>
            <sz val="9"/>
            <color indexed="81"/>
            <rFont val="Tahoma"/>
            <family val="2"/>
          </rPr>
          <t>Rob:</t>
        </r>
        <r>
          <rPr>
            <sz val="9"/>
            <color indexed="81"/>
            <rFont val="Tahoma"/>
            <family val="2"/>
          </rPr>
          <t xml:space="preserve">
Harding Loevner Emerging Markets</t>
        </r>
      </text>
    </comment>
    <comment ref="OC14" authorId="1" shapeId="0" xr:uid="{00000000-0006-0000-0000-000032000000}">
      <text>
        <r>
          <rPr>
            <b/>
            <sz val="9"/>
            <color indexed="81"/>
            <rFont val="Tahoma"/>
            <family val="2"/>
          </rPr>
          <t>Rob:</t>
        </r>
        <r>
          <rPr>
            <sz val="9"/>
            <color indexed="81"/>
            <rFont val="Tahoma"/>
            <family val="2"/>
          </rPr>
          <t xml:space="preserve">
Oakmark International Fund Investor Class
Fund invests primarily in common stocks of non-US companies.  It may invest in emerging markets, but generally invests in developed markets.
Composition is mostly large cap companies.  
Geographical distribution is: 40% Eurozone, 23% UK, 18% ex Euro Europe, 6% Japan</t>
        </r>
      </text>
    </comment>
    <comment ref="OO14" authorId="0" shapeId="0" xr:uid="{4A777C77-C4C4-4CBC-B900-036C49DD09BF}">
      <text>
        <r>
          <rPr>
            <b/>
            <sz val="9"/>
            <color indexed="81"/>
            <rFont val="Tahoma"/>
            <family val="2"/>
          </rPr>
          <t>Rob Squire:</t>
        </r>
        <r>
          <rPr>
            <sz val="9"/>
            <color indexed="81"/>
            <rFont val="Tahoma"/>
            <family val="2"/>
          </rPr>
          <t xml:space="preserve">
Fidelity Long Term Treasury Bond Index</t>
        </r>
      </text>
    </comment>
    <comment ref="D16" authorId="1" shapeId="0" xr:uid="{00000000-0006-0000-0000-000033000000}">
      <text>
        <r>
          <rPr>
            <b/>
            <sz val="9"/>
            <color indexed="81"/>
            <rFont val="Tahoma"/>
            <family val="2"/>
          </rPr>
          <t>Rob:</t>
        </r>
        <r>
          <rPr>
            <sz val="9"/>
            <color indexed="81"/>
            <rFont val="Tahoma"/>
            <family val="2"/>
          </rPr>
          <t xml:space="preserve">
Position transferred to Managed Joint Acct</t>
        </r>
      </text>
    </comment>
    <comment ref="F16" authorId="1" shapeId="0" xr:uid="{00000000-0006-0000-0000-000034000000}">
      <text>
        <r>
          <rPr>
            <b/>
            <sz val="9"/>
            <color indexed="81"/>
            <rFont val="Tahoma"/>
            <family val="2"/>
          </rPr>
          <t>Rob:</t>
        </r>
        <r>
          <rPr>
            <sz val="9"/>
            <color indexed="81"/>
            <rFont val="Tahoma"/>
            <family val="2"/>
          </rPr>
          <t xml:space="preserve">
Position transferred to Managed Joint Acct</t>
        </r>
      </text>
    </comment>
    <comment ref="O16" authorId="1" shapeId="0" xr:uid="{00000000-0006-0000-0000-000035000000}">
      <text>
        <r>
          <rPr>
            <b/>
            <sz val="9"/>
            <color indexed="81"/>
            <rFont val="Tahoma"/>
            <family val="2"/>
          </rPr>
          <t>Rob:</t>
        </r>
        <r>
          <rPr>
            <sz val="9"/>
            <color indexed="81"/>
            <rFont val="Tahoma"/>
            <family val="2"/>
          </rPr>
          <t xml:space="preserve">
Position transferred to Managed Joint Acct</t>
        </r>
      </text>
    </comment>
    <comment ref="P16" authorId="1" shapeId="0" xr:uid="{00000000-0006-0000-0000-000036000000}">
      <text>
        <r>
          <rPr>
            <b/>
            <sz val="9"/>
            <color indexed="81"/>
            <rFont val="Tahoma"/>
            <family val="2"/>
          </rPr>
          <t>Rob:</t>
        </r>
        <r>
          <rPr>
            <sz val="9"/>
            <color indexed="81"/>
            <rFont val="Tahoma"/>
            <family val="2"/>
          </rPr>
          <t xml:space="preserve">
Position transferred to Managed Joint Acct</t>
        </r>
      </text>
    </comment>
    <comment ref="CJ16" authorId="1" shapeId="0" xr:uid="{00000000-0006-0000-0000-00003B000000}">
      <text>
        <r>
          <rPr>
            <b/>
            <sz val="9"/>
            <color indexed="81"/>
            <rFont val="Tahoma"/>
            <family val="2"/>
          </rPr>
          <t>Rob:</t>
        </r>
        <r>
          <rPr>
            <sz val="9"/>
            <color indexed="81"/>
            <rFont val="Tahoma"/>
            <family val="2"/>
          </rPr>
          <t xml:space="preserve">
Position transferred to Managed IRA Acct</t>
        </r>
      </text>
    </comment>
    <comment ref="CK16" authorId="1" shapeId="0" xr:uid="{00000000-0006-0000-0000-00003C000000}">
      <text>
        <r>
          <rPr>
            <b/>
            <sz val="9"/>
            <color indexed="81"/>
            <rFont val="Tahoma"/>
            <family val="2"/>
          </rPr>
          <t>Rob:</t>
        </r>
        <r>
          <rPr>
            <sz val="9"/>
            <color indexed="81"/>
            <rFont val="Tahoma"/>
            <family val="2"/>
          </rPr>
          <t xml:space="preserve">
Position transferred to Managed IRA Acct.  After transfer, more shares were automatically purchased with dividends</t>
        </r>
      </text>
    </comment>
    <comment ref="CL16" authorId="1" shapeId="0" xr:uid="{00000000-0006-0000-0000-00003D000000}">
      <text>
        <r>
          <rPr>
            <b/>
            <sz val="9"/>
            <color indexed="81"/>
            <rFont val="Tahoma"/>
            <family val="2"/>
          </rPr>
          <t>Rob:</t>
        </r>
        <r>
          <rPr>
            <sz val="9"/>
            <color indexed="81"/>
            <rFont val="Tahoma"/>
            <family val="2"/>
          </rPr>
          <t xml:space="preserve">
Position transferred to Managed IRA Acct</t>
        </r>
      </text>
    </comment>
    <comment ref="CN16" authorId="1" shapeId="0" xr:uid="{00000000-0006-0000-0000-00003E000000}">
      <text>
        <r>
          <rPr>
            <b/>
            <sz val="9"/>
            <color indexed="81"/>
            <rFont val="Tahoma"/>
            <family val="2"/>
          </rPr>
          <t>Rob:</t>
        </r>
        <r>
          <rPr>
            <sz val="9"/>
            <color indexed="81"/>
            <rFont val="Tahoma"/>
            <family val="2"/>
          </rPr>
          <t xml:space="preserve">
Position transferred to Managed IRA Acct.  After transfer, more shares were automatically purchased with dividends</t>
        </r>
      </text>
    </comment>
    <comment ref="CP16" authorId="1" shapeId="0" xr:uid="{00000000-0006-0000-0000-00003F000000}">
      <text>
        <r>
          <rPr>
            <b/>
            <sz val="9"/>
            <color indexed="81"/>
            <rFont val="Tahoma"/>
            <family val="2"/>
          </rPr>
          <t>Rob:</t>
        </r>
        <r>
          <rPr>
            <sz val="9"/>
            <color indexed="81"/>
            <rFont val="Tahoma"/>
            <family val="2"/>
          </rPr>
          <t xml:space="preserve">
Position transferred to Managed IRA Acct.  After transfer, more shares were automatically purchased with dividends</t>
        </r>
      </text>
    </comment>
    <comment ref="CR16" authorId="1" shapeId="0" xr:uid="{00000000-0006-0000-0000-000040000000}">
      <text>
        <r>
          <rPr>
            <b/>
            <sz val="9"/>
            <color indexed="81"/>
            <rFont val="Tahoma"/>
            <family val="2"/>
          </rPr>
          <t>Rob:</t>
        </r>
        <r>
          <rPr>
            <sz val="9"/>
            <color indexed="81"/>
            <rFont val="Tahoma"/>
            <family val="2"/>
          </rPr>
          <t xml:space="preserve">
Position transferred to Managed IRA Acct</t>
        </r>
      </text>
    </comment>
    <comment ref="ET16" authorId="1" shapeId="0" xr:uid="{00000000-0006-0000-0000-000037000000}">
      <text>
        <r>
          <rPr>
            <b/>
            <sz val="9"/>
            <color indexed="81"/>
            <rFont val="Tahoma"/>
            <family val="2"/>
          </rPr>
          <t>Rob:</t>
        </r>
        <r>
          <rPr>
            <sz val="9"/>
            <color indexed="81"/>
            <rFont val="Tahoma"/>
            <family val="2"/>
          </rPr>
          <t xml:space="preserve">
Position transferred from Joint Acct</t>
        </r>
      </text>
    </comment>
    <comment ref="EU16" authorId="1" shapeId="0" xr:uid="{00000000-0006-0000-0000-000038000000}">
      <text>
        <r>
          <rPr>
            <b/>
            <sz val="9"/>
            <color indexed="81"/>
            <rFont val="Tahoma"/>
            <family val="2"/>
          </rPr>
          <t>Rob:</t>
        </r>
        <r>
          <rPr>
            <sz val="9"/>
            <color indexed="81"/>
            <rFont val="Tahoma"/>
            <family val="2"/>
          </rPr>
          <t xml:space="preserve">
Position transferred from Joint Acct</t>
        </r>
      </text>
    </comment>
    <comment ref="EV16" authorId="1" shapeId="0" xr:uid="{00000000-0006-0000-0000-000039000000}">
      <text>
        <r>
          <rPr>
            <b/>
            <sz val="9"/>
            <color indexed="81"/>
            <rFont val="Tahoma"/>
            <family val="2"/>
          </rPr>
          <t>Rob:</t>
        </r>
        <r>
          <rPr>
            <sz val="9"/>
            <color indexed="81"/>
            <rFont val="Tahoma"/>
            <family val="2"/>
          </rPr>
          <t xml:space="preserve">
Position transferred from Joint Acct</t>
        </r>
      </text>
    </comment>
    <comment ref="EW16" authorId="1" shapeId="0" xr:uid="{00000000-0006-0000-0000-00003A000000}">
      <text>
        <r>
          <rPr>
            <b/>
            <sz val="9"/>
            <color indexed="81"/>
            <rFont val="Tahoma"/>
            <family val="2"/>
          </rPr>
          <t>Rob:</t>
        </r>
        <r>
          <rPr>
            <sz val="9"/>
            <color indexed="81"/>
            <rFont val="Tahoma"/>
            <family val="2"/>
          </rPr>
          <t xml:space="preserve">
Position transferred from Joint Acct</t>
        </r>
      </text>
    </comment>
    <comment ref="HG16" authorId="1" shapeId="0" xr:uid="{00000000-0006-0000-0000-000041000000}">
      <text>
        <r>
          <rPr>
            <b/>
            <sz val="9"/>
            <color indexed="81"/>
            <rFont val="Tahoma"/>
            <family val="2"/>
          </rPr>
          <t>Rob:</t>
        </r>
        <r>
          <rPr>
            <sz val="9"/>
            <color indexed="81"/>
            <rFont val="Tahoma"/>
            <family val="2"/>
          </rPr>
          <t xml:space="preserve">
Position transferred from Rob's IRA Acct</t>
        </r>
      </text>
    </comment>
    <comment ref="KD16" authorId="1" shapeId="0" xr:uid="{00000000-0006-0000-0000-000042000000}">
      <text>
        <r>
          <rPr>
            <b/>
            <sz val="9"/>
            <color indexed="81"/>
            <rFont val="Tahoma"/>
            <family val="2"/>
          </rPr>
          <t>Rob:</t>
        </r>
        <r>
          <rPr>
            <sz val="9"/>
            <color indexed="81"/>
            <rFont val="Tahoma"/>
            <family val="2"/>
          </rPr>
          <t xml:space="preserve">
Position transferred from Rob's IRA Acct</t>
        </r>
      </text>
    </comment>
    <comment ref="KE16" authorId="1" shapeId="0" xr:uid="{00000000-0006-0000-0000-000043000000}">
      <text>
        <r>
          <rPr>
            <b/>
            <sz val="9"/>
            <color indexed="81"/>
            <rFont val="Tahoma"/>
            <family val="2"/>
          </rPr>
          <t>Rob:</t>
        </r>
        <r>
          <rPr>
            <sz val="9"/>
            <color indexed="81"/>
            <rFont val="Tahoma"/>
            <family val="2"/>
          </rPr>
          <t xml:space="preserve">
Position transferred from Rob's IRA Acct</t>
        </r>
      </text>
    </comment>
    <comment ref="KF16" authorId="1" shapeId="0" xr:uid="{00000000-0006-0000-0000-000044000000}">
      <text>
        <r>
          <rPr>
            <b/>
            <sz val="9"/>
            <color indexed="81"/>
            <rFont val="Tahoma"/>
            <family val="2"/>
          </rPr>
          <t>Rob:</t>
        </r>
        <r>
          <rPr>
            <sz val="9"/>
            <color indexed="81"/>
            <rFont val="Tahoma"/>
            <family val="2"/>
          </rPr>
          <t xml:space="preserve">
Position transferred from Rob's IRA Acct</t>
        </r>
      </text>
    </comment>
    <comment ref="KH16" authorId="1" shapeId="0" xr:uid="{00000000-0006-0000-0000-000045000000}">
      <text>
        <r>
          <rPr>
            <b/>
            <sz val="9"/>
            <color indexed="81"/>
            <rFont val="Tahoma"/>
            <family val="2"/>
          </rPr>
          <t>Rob:</t>
        </r>
        <r>
          <rPr>
            <sz val="9"/>
            <color indexed="81"/>
            <rFont val="Tahoma"/>
            <family val="2"/>
          </rPr>
          <t xml:space="preserve">
Position transferred from Rob's IRA Acct</t>
        </r>
      </text>
    </comment>
    <comment ref="KJ16" authorId="1" shapeId="0" xr:uid="{00000000-0006-0000-0000-000046000000}">
      <text>
        <r>
          <rPr>
            <b/>
            <sz val="9"/>
            <color indexed="81"/>
            <rFont val="Tahoma"/>
            <family val="2"/>
          </rPr>
          <t>Rob:</t>
        </r>
        <r>
          <rPr>
            <sz val="9"/>
            <color indexed="81"/>
            <rFont val="Tahoma"/>
            <family val="2"/>
          </rPr>
          <t xml:space="preserve">
Position transferred from Rob's IRA Acct</t>
        </r>
      </text>
    </comment>
    <comment ref="KM16" authorId="1" shapeId="0" xr:uid="{00000000-0006-0000-0000-000047000000}">
      <text>
        <r>
          <rPr>
            <b/>
            <sz val="9"/>
            <color indexed="81"/>
            <rFont val="Tahoma"/>
            <family val="2"/>
          </rPr>
          <t>Rob:</t>
        </r>
        <r>
          <rPr>
            <sz val="9"/>
            <color indexed="81"/>
            <rFont val="Tahoma"/>
            <family val="2"/>
          </rPr>
          <t xml:space="preserve">
Position transferred from Rob's IRA Acct</t>
        </r>
      </text>
    </comment>
    <comment ref="ET17" authorId="1" shapeId="0" xr:uid="{00000000-0006-0000-0000-000048000000}">
      <text>
        <r>
          <rPr>
            <b/>
            <sz val="9"/>
            <color indexed="81"/>
            <rFont val="Tahoma"/>
            <family val="2"/>
          </rPr>
          <t>Rob:</t>
        </r>
        <r>
          <rPr>
            <sz val="9"/>
            <color indexed="81"/>
            <rFont val="Tahoma"/>
            <family val="2"/>
          </rPr>
          <t xml:space="preserve">
Sold all 1,174 @ 11.7105</t>
        </r>
      </text>
    </comment>
    <comment ref="EU17" authorId="1" shapeId="0" xr:uid="{00000000-0006-0000-0000-000049000000}">
      <text>
        <r>
          <rPr>
            <b/>
            <sz val="9"/>
            <color indexed="81"/>
            <rFont val="Tahoma"/>
            <family val="2"/>
          </rPr>
          <t>Rob:</t>
        </r>
        <r>
          <rPr>
            <sz val="9"/>
            <color indexed="81"/>
            <rFont val="Tahoma"/>
            <family val="2"/>
          </rPr>
          <t xml:space="preserve">
Sold all 89,293.44 @ 1</t>
        </r>
      </text>
    </comment>
    <comment ref="EV17" authorId="1" shapeId="0" xr:uid="{00000000-0006-0000-0000-00004A000000}">
      <text>
        <r>
          <rPr>
            <b/>
            <sz val="9"/>
            <color indexed="81"/>
            <rFont val="Tahoma"/>
            <family val="2"/>
          </rPr>
          <t>Rob:</t>
        </r>
        <r>
          <rPr>
            <sz val="9"/>
            <color indexed="81"/>
            <rFont val="Tahoma"/>
            <family val="2"/>
          </rPr>
          <t xml:space="preserve">
Sold all 9,417.863 @ 12.37</t>
        </r>
      </text>
    </comment>
    <comment ref="EW17" authorId="1" shapeId="0" xr:uid="{00000000-0006-0000-0000-00004B000000}">
      <text>
        <r>
          <rPr>
            <b/>
            <sz val="9"/>
            <color indexed="81"/>
            <rFont val="Tahoma"/>
            <family val="2"/>
          </rPr>
          <t>Rob:</t>
        </r>
        <r>
          <rPr>
            <sz val="9"/>
            <color indexed="81"/>
            <rFont val="Tahoma"/>
            <family val="2"/>
          </rPr>
          <t xml:space="preserve">
Sold all 10,879.091 @ 11.46</t>
        </r>
      </text>
    </comment>
    <comment ref="EX17" authorId="1" shapeId="0" xr:uid="{00000000-0006-0000-0000-00004C000000}">
      <text>
        <r>
          <rPr>
            <b/>
            <sz val="9"/>
            <color indexed="81"/>
            <rFont val="Tahoma"/>
            <family val="2"/>
          </rPr>
          <t>Rob:</t>
        </r>
        <r>
          <rPr>
            <sz val="9"/>
            <color indexed="81"/>
            <rFont val="Tahoma"/>
            <family val="2"/>
          </rPr>
          <t xml:space="preserve">
This was established as the new core position</t>
        </r>
      </text>
    </comment>
    <comment ref="FH17" authorId="1" shapeId="0" xr:uid="{00000000-0006-0000-0000-00004D000000}">
      <text>
        <r>
          <rPr>
            <b/>
            <sz val="9"/>
            <color indexed="81"/>
            <rFont val="Tahoma"/>
            <family val="2"/>
          </rPr>
          <t>Rob:</t>
        </r>
        <r>
          <rPr>
            <sz val="9"/>
            <color indexed="81"/>
            <rFont val="Tahoma"/>
            <family val="2"/>
          </rPr>
          <t xml:space="preserve">
Bought 600 @ 31.51</t>
        </r>
      </text>
    </comment>
    <comment ref="FP17" authorId="1" shapeId="0" xr:uid="{00000000-0006-0000-0000-00004E000000}">
      <text>
        <r>
          <rPr>
            <b/>
            <sz val="9"/>
            <color indexed="81"/>
            <rFont val="Tahoma"/>
            <family val="2"/>
          </rPr>
          <t>Rob:</t>
        </r>
        <r>
          <rPr>
            <sz val="9"/>
            <color indexed="81"/>
            <rFont val="Tahoma"/>
            <family val="2"/>
          </rPr>
          <t xml:space="preserve">
Bought 80 @ 219.08</t>
        </r>
      </text>
    </comment>
    <comment ref="GA17" authorId="1" shapeId="0" xr:uid="{00000000-0006-0000-0000-00004F000000}">
      <text>
        <r>
          <rPr>
            <b/>
            <sz val="9"/>
            <color indexed="81"/>
            <rFont val="Tahoma"/>
            <family val="2"/>
          </rPr>
          <t>Rob:</t>
        </r>
        <r>
          <rPr>
            <sz val="9"/>
            <color indexed="81"/>
            <rFont val="Tahoma"/>
            <family val="2"/>
          </rPr>
          <t xml:space="preserve">
Bought 140 @ 127.745</t>
        </r>
      </text>
    </comment>
    <comment ref="GM17" authorId="1" shapeId="0" xr:uid="{00000000-0006-0000-0000-000050000000}">
      <text>
        <r>
          <rPr>
            <b/>
            <sz val="9"/>
            <color indexed="81"/>
            <rFont val="Tahoma"/>
            <family val="2"/>
          </rPr>
          <t>Rob:</t>
        </r>
        <r>
          <rPr>
            <sz val="9"/>
            <color indexed="81"/>
            <rFont val="Tahoma"/>
            <family val="2"/>
          </rPr>
          <t xml:space="preserve">
Bought 300 @ 58.8553</t>
        </r>
      </text>
    </comment>
    <comment ref="GN17" authorId="1" shapeId="0" xr:uid="{00000000-0006-0000-0000-000051000000}">
      <text>
        <r>
          <rPr>
            <b/>
            <sz val="9"/>
            <color indexed="81"/>
            <rFont val="Tahoma"/>
            <family val="2"/>
          </rPr>
          <t>Rob:</t>
        </r>
        <r>
          <rPr>
            <sz val="9"/>
            <color indexed="81"/>
            <rFont val="Tahoma"/>
            <family val="2"/>
          </rPr>
          <t xml:space="preserve">
Bought 250 @ 69.175</t>
        </r>
      </text>
    </comment>
    <comment ref="GO17" authorId="1" shapeId="0" xr:uid="{00000000-0006-0000-0000-000052000000}">
      <text>
        <r>
          <rPr>
            <b/>
            <sz val="9"/>
            <color indexed="81"/>
            <rFont val="Tahoma"/>
            <family val="2"/>
          </rPr>
          <t>Rob:</t>
        </r>
        <r>
          <rPr>
            <sz val="9"/>
            <color indexed="81"/>
            <rFont val="Tahoma"/>
            <family val="2"/>
          </rPr>
          <t xml:space="preserve">
Bought 350 @ 50.69</t>
        </r>
      </text>
    </comment>
    <comment ref="GX17" authorId="1" shapeId="0" xr:uid="{00000000-0006-0000-0000-000053000000}">
      <text>
        <r>
          <rPr>
            <b/>
            <sz val="9"/>
            <color indexed="81"/>
            <rFont val="Tahoma"/>
            <family val="2"/>
          </rPr>
          <t>Rob:</t>
        </r>
        <r>
          <rPr>
            <sz val="9"/>
            <color indexed="81"/>
            <rFont val="Tahoma"/>
            <family val="2"/>
          </rPr>
          <t xml:space="preserve">
Bought 400 @ 43.645</t>
        </r>
      </text>
    </comment>
    <comment ref="HG17" authorId="1" shapeId="0" xr:uid="{00000000-0006-0000-0000-000054000000}">
      <text>
        <r>
          <rPr>
            <b/>
            <sz val="9"/>
            <color indexed="81"/>
            <rFont val="Tahoma"/>
            <family val="2"/>
          </rPr>
          <t>Rob:</t>
        </r>
        <r>
          <rPr>
            <sz val="9"/>
            <color indexed="81"/>
            <rFont val="Tahoma"/>
            <family val="2"/>
          </rPr>
          <t xml:space="preserve">
Funds taken from this account for purchases of the 5 new positions shown at right</t>
        </r>
      </text>
    </comment>
    <comment ref="ID17" authorId="1" shapeId="0" xr:uid="{00000000-0006-0000-0000-000055000000}">
      <text>
        <r>
          <rPr>
            <b/>
            <sz val="9"/>
            <color indexed="81"/>
            <rFont val="Tahoma"/>
            <family val="2"/>
          </rPr>
          <t>Rob:</t>
        </r>
        <r>
          <rPr>
            <sz val="9"/>
            <color indexed="81"/>
            <rFont val="Tahoma"/>
            <family val="2"/>
          </rPr>
          <t xml:space="preserve">
Bought 175 @ 105.1153</t>
        </r>
      </text>
    </comment>
    <comment ref="IT17" authorId="1" shapeId="0" xr:uid="{00000000-0006-0000-0000-000056000000}">
      <text>
        <r>
          <rPr>
            <b/>
            <sz val="9"/>
            <color indexed="81"/>
            <rFont val="Tahoma"/>
            <family val="2"/>
          </rPr>
          <t>Rob:</t>
        </r>
        <r>
          <rPr>
            <sz val="9"/>
            <color indexed="81"/>
            <rFont val="Tahoma"/>
            <family val="2"/>
          </rPr>
          <t xml:space="preserve">
Bought 500 @ 34.58</t>
        </r>
      </text>
    </comment>
    <comment ref="IX17" authorId="1" shapeId="0" xr:uid="{00000000-0006-0000-0000-000057000000}">
      <text>
        <r>
          <rPr>
            <b/>
            <sz val="9"/>
            <color indexed="81"/>
            <rFont val="Tahoma"/>
            <family val="2"/>
          </rPr>
          <t>Rob:</t>
        </r>
        <r>
          <rPr>
            <sz val="9"/>
            <color indexed="81"/>
            <rFont val="Tahoma"/>
            <family val="2"/>
          </rPr>
          <t xml:space="preserve">
Bought 200 @ 92.2954</t>
        </r>
      </text>
    </comment>
    <comment ref="JL17" authorId="1" shapeId="0" xr:uid="{00000000-0006-0000-0000-000058000000}">
      <text>
        <r>
          <rPr>
            <b/>
            <sz val="9"/>
            <color indexed="81"/>
            <rFont val="Tahoma"/>
            <family val="2"/>
          </rPr>
          <t>Rob:</t>
        </r>
        <r>
          <rPr>
            <sz val="9"/>
            <color indexed="81"/>
            <rFont val="Tahoma"/>
            <family val="2"/>
          </rPr>
          <t xml:space="preserve">
Bought 300 @ 63.245</t>
        </r>
      </text>
    </comment>
    <comment ref="JO17" authorId="1" shapeId="0" xr:uid="{00000000-0006-0000-0000-000059000000}">
      <text>
        <r>
          <rPr>
            <b/>
            <sz val="9"/>
            <color indexed="81"/>
            <rFont val="Tahoma"/>
            <family val="2"/>
          </rPr>
          <t>Rob:</t>
        </r>
        <r>
          <rPr>
            <sz val="9"/>
            <color indexed="81"/>
            <rFont val="Tahoma"/>
            <family val="2"/>
          </rPr>
          <t xml:space="preserve">
Bought 500 @ 33.8853</t>
        </r>
      </text>
    </comment>
    <comment ref="CK18" authorId="1" shapeId="0" xr:uid="{00000000-0006-0000-0000-00005A000000}">
      <text>
        <r>
          <rPr>
            <b/>
            <sz val="9"/>
            <color indexed="81"/>
            <rFont val="Tahoma"/>
            <family val="2"/>
          </rPr>
          <t>Rob:</t>
        </r>
        <r>
          <rPr>
            <sz val="9"/>
            <color indexed="81"/>
            <rFont val="Tahoma"/>
            <family val="2"/>
          </rPr>
          <t xml:space="preserve">
Transferred all 2.242 residual shares to Managed IRA</t>
        </r>
      </text>
    </comment>
    <comment ref="CN18" authorId="1" shapeId="0" xr:uid="{00000000-0006-0000-0000-00005B000000}">
      <text>
        <r>
          <rPr>
            <b/>
            <sz val="9"/>
            <color indexed="81"/>
            <rFont val="Tahoma"/>
            <family val="2"/>
          </rPr>
          <t>Rob:</t>
        </r>
        <r>
          <rPr>
            <sz val="9"/>
            <color indexed="81"/>
            <rFont val="Tahoma"/>
            <family val="2"/>
          </rPr>
          <t xml:space="preserve">
Transferred all 1.389 residual shares to Managed IRA</t>
        </r>
      </text>
    </comment>
    <comment ref="CP18" authorId="1" shapeId="0" xr:uid="{00000000-0006-0000-0000-00005C000000}">
      <text>
        <r>
          <rPr>
            <b/>
            <sz val="9"/>
            <color indexed="81"/>
            <rFont val="Tahoma"/>
            <family val="2"/>
          </rPr>
          <t>Rob:</t>
        </r>
        <r>
          <rPr>
            <sz val="9"/>
            <color indexed="81"/>
            <rFont val="Tahoma"/>
            <family val="2"/>
          </rPr>
          <t xml:space="preserve">
Transferred all 1.573 residual shares to Managed IRA</t>
        </r>
      </text>
    </comment>
    <comment ref="C19" authorId="1" shapeId="0" xr:uid="{00000000-0006-0000-0000-00005D000000}">
      <text>
        <r>
          <rPr>
            <b/>
            <sz val="9"/>
            <color indexed="81"/>
            <rFont val="Tahoma"/>
            <family val="2"/>
          </rPr>
          <t>Rob:</t>
        </r>
        <r>
          <rPr>
            <sz val="9"/>
            <color indexed="81"/>
            <rFont val="Tahoma"/>
            <family val="2"/>
          </rPr>
          <t xml:space="preserve">
Transferred $20k to FirstBank</t>
        </r>
      </text>
    </comment>
    <comment ref="AF19" authorId="1" shapeId="0" xr:uid="{00000000-0006-0000-0000-000060000000}">
      <text>
        <r>
          <rPr>
            <b/>
            <sz val="9"/>
            <color indexed="81"/>
            <rFont val="Tahoma"/>
            <family val="2"/>
          </rPr>
          <t>Rob:</t>
        </r>
        <r>
          <rPr>
            <sz val="9"/>
            <color indexed="81"/>
            <rFont val="Tahoma"/>
            <family val="2"/>
          </rPr>
          <t xml:space="preserve">
</t>
        </r>
        <r>
          <rPr>
            <sz val="11"/>
            <color indexed="81"/>
            <rFont val="Tahoma"/>
            <family val="2"/>
          </rPr>
          <t>Originally recorded a value of $307,385.  In retrospeck, this must have been an error in recording.  I've moved the value to be equial to the 7/20/2017 value</t>
        </r>
      </text>
    </comment>
    <comment ref="EY19" authorId="1" shapeId="0" xr:uid="{00000000-0006-0000-0000-00005E000000}">
      <text>
        <r>
          <rPr>
            <b/>
            <sz val="9"/>
            <color indexed="81"/>
            <rFont val="Tahoma"/>
            <family val="2"/>
          </rPr>
          <t>Rob:</t>
        </r>
        <r>
          <rPr>
            <sz val="9"/>
            <color indexed="81"/>
            <rFont val="Tahoma"/>
            <family val="2"/>
          </rPr>
          <t xml:space="preserve">
Bought 120 shares at 153.53</t>
        </r>
      </text>
    </comment>
    <comment ref="FS19" authorId="1" shapeId="0" xr:uid="{00000000-0006-0000-0000-00005F000000}">
      <text>
        <r>
          <rPr>
            <b/>
            <sz val="9"/>
            <color indexed="81"/>
            <rFont val="Tahoma"/>
            <family val="2"/>
          </rPr>
          <t>Rob:</t>
        </r>
        <r>
          <rPr>
            <sz val="9"/>
            <color indexed="81"/>
            <rFont val="Tahoma"/>
            <family val="2"/>
          </rPr>
          <t xml:space="preserve">
Bought 18 shares of GOOG at 928.17 ($16,707.06)</t>
        </r>
      </text>
    </comment>
    <comment ref="FI20" authorId="1" shapeId="0" xr:uid="{00000000-0006-0000-0000-000061000000}">
      <text>
        <r>
          <rPr>
            <b/>
            <sz val="9"/>
            <color indexed="81"/>
            <rFont val="Tahoma"/>
            <family val="2"/>
          </rPr>
          <t>Rob:</t>
        </r>
        <r>
          <rPr>
            <sz val="9"/>
            <color indexed="81"/>
            <rFont val="Tahoma"/>
            <family val="2"/>
          </rPr>
          <t xml:space="preserve">
Bought 250 shares at 70.265 ($17,566.25)</t>
        </r>
      </text>
    </comment>
    <comment ref="FZ20" authorId="1" shapeId="0" xr:uid="{00000000-0006-0000-0000-000062000000}">
      <text>
        <r>
          <rPr>
            <b/>
            <sz val="9"/>
            <color indexed="81"/>
            <rFont val="Tahoma"/>
            <family val="2"/>
          </rPr>
          <t>Rob:</t>
        </r>
        <r>
          <rPr>
            <sz val="9"/>
            <color indexed="81"/>
            <rFont val="Tahoma"/>
            <family val="2"/>
          </rPr>
          <t xml:space="preserve">
Bought 225 shares at 77.245 ($17,380.13)</t>
        </r>
      </text>
    </comment>
    <comment ref="EX22" authorId="1" shapeId="0" xr:uid="{00000000-0006-0000-0000-000063000000}">
      <text>
        <r>
          <rPr>
            <b/>
            <sz val="9"/>
            <color indexed="81"/>
            <rFont val="Tahoma"/>
            <family val="2"/>
          </rPr>
          <t>Rob:</t>
        </r>
        <r>
          <rPr>
            <sz val="9"/>
            <color indexed="81"/>
            <rFont val="Tahoma"/>
            <family val="2"/>
          </rPr>
          <t xml:space="preserve">
$765.10 advisory fee deducted on 8/18</t>
        </r>
      </text>
    </comment>
    <comment ref="FM22" authorId="1" shapeId="0" xr:uid="{00000000-0006-0000-0000-000064000000}">
      <text>
        <r>
          <rPr>
            <b/>
            <sz val="9"/>
            <color indexed="81"/>
            <rFont val="Tahoma"/>
            <family val="2"/>
          </rPr>
          <t>Rob:</t>
        </r>
        <r>
          <rPr>
            <sz val="9"/>
            <color indexed="81"/>
            <rFont val="Tahoma"/>
            <family val="2"/>
          </rPr>
          <t xml:space="preserve">
Bought 300 shares at 59.085 ($17,725.50)</t>
        </r>
      </text>
    </comment>
    <comment ref="GK22" authorId="1" shapeId="0" xr:uid="{00000000-0006-0000-0000-000065000000}">
      <text>
        <r>
          <rPr>
            <b/>
            <sz val="9"/>
            <color indexed="81"/>
            <rFont val="Tahoma"/>
            <family val="2"/>
          </rPr>
          <t>Rob:</t>
        </r>
        <r>
          <rPr>
            <sz val="9"/>
            <color indexed="81"/>
            <rFont val="Tahoma"/>
            <family val="2"/>
          </rPr>
          <t xml:space="preserve">
Bought 450 shares at 39.4953 (17,772.89)</t>
        </r>
      </text>
    </comment>
    <comment ref="HG22" authorId="1" shapeId="0" xr:uid="{00000000-0006-0000-0000-000066000000}">
      <text>
        <r>
          <rPr>
            <b/>
            <sz val="9"/>
            <color indexed="81"/>
            <rFont val="Tahoma"/>
            <family val="2"/>
          </rPr>
          <t>Rob:</t>
        </r>
        <r>
          <rPr>
            <sz val="9"/>
            <color indexed="81"/>
            <rFont val="Tahoma"/>
            <family val="2"/>
          </rPr>
          <t xml:space="preserve">
$700.80 advisory fee deducted on 8/18/2017</t>
        </r>
      </text>
    </comment>
    <comment ref="I24" authorId="1" shapeId="0" xr:uid="{E2F63BFA-8E4B-45C8-8E15-33EEF5C7FFC6}">
      <text>
        <r>
          <rPr>
            <b/>
            <sz val="9"/>
            <color indexed="81"/>
            <rFont val="Tahoma"/>
            <family val="2"/>
          </rPr>
          <t>Rob:</t>
        </r>
        <r>
          <rPr>
            <sz val="9"/>
            <color indexed="81"/>
            <rFont val="Tahoma"/>
            <family val="2"/>
          </rPr>
          <t xml:space="preserve">
9/7/2017 - Bought 300 shares of Ishares core MSCI EAFE ETF (IEFA) at 63.2163 ($18,964.89) in Managed Joint acct</t>
        </r>
      </text>
    </comment>
    <comment ref="J24" authorId="1" shapeId="0" xr:uid="{1D3C4AFE-3529-4C6A-B585-D3D4A06FA6B0}">
      <text>
        <r>
          <rPr>
            <b/>
            <sz val="9"/>
            <color indexed="81"/>
            <rFont val="Tahoma"/>
            <family val="2"/>
          </rPr>
          <t>Rob:</t>
        </r>
        <r>
          <rPr>
            <sz val="9"/>
            <color indexed="81"/>
            <rFont val="Tahoma"/>
            <family val="2"/>
          </rPr>
          <t xml:space="preserve">
9/7/2017 - Bought 250 shares of IShares Emerging Mkt ETF (IEMG) at 54.4494 ($13,612.35) in Managed Joint acct</t>
        </r>
      </text>
    </comment>
    <comment ref="BM24" authorId="1" shapeId="0" xr:uid="{372A3C9C-B85E-4056-A21B-3AC353EF3993}">
      <text>
        <r>
          <rPr>
            <b/>
            <sz val="9"/>
            <color indexed="81"/>
            <rFont val="Tahoma"/>
            <family val="2"/>
          </rPr>
          <t>Rob:</t>
        </r>
        <r>
          <rPr>
            <sz val="9"/>
            <color indexed="81"/>
            <rFont val="Tahoma"/>
            <family val="2"/>
          </rPr>
          <t xml:space="preserve">
9/7/2017 - Bought 100 shares of Ishares Mid-cap ETF (IJH) at 171.1861 ($17,118.61) in Managed Rob's IRA</t>
        </r>
      </text>
    </comment>
    <comment ref="BN24" authorId="1" shapeId="0" xr:uid="{3F0D1954-852A-4479-891F-243F0F996726}">
      <text>
        <r>
          <rPr>
            <b/>
            <sz val="9"/>
            <color indexed="81"/>
            <rFont val="Tahoma"/>
            <family val="2"/>
          </rPr>
          <t>Rob:</t>
        </r>
        <r>
          <rPr>
            <sz val="9"/>
            <color indexed="81"/>
            <rFont val="Tahoma"/>
            <family val="2"/>
          </rPr>
          <t xml:space="preserve">
9/7/2017 - Bought 250 shares of Ishares small cap ETF (IJR) at 68.785 ($17,196.25) in Managed Rob's IRA</t>
        </r>
      </text>
    </comment>
    <comment ref="CQ24" authorId="1" shapeId="0" xr:uid="{B65C150F-A299-488A-AC96-E5AF303821F3}">
      <text>
        <r>
          <rPr>
            <b/>
            <sz val="9"/>
            <color indexed="81"/>
            <rFont val="Tahoma"/>
            <family val="2"/>
          </rPr>
          <t>Rob:</t>
        </r>
        <r>
          <rPr>
            <sz val="9"/>
            <color indexed="81"/>
            <rFont val="Tahoma"/>
            <family val="2"/>
          </rPr>
          <t xml:space="preserve">
8/31/2017 - Bought 200 shares of Vanguard REIT ETF (VNQ) at 84.2353 ($16,847.06) in Managed Rob's IRA</t>
        </r>
      </text>
    </comment>
    <comment ref="FA24" authorId="1" shapeId="0" xr:uid="{00000000-0006-0000-0000-000067000000}">
      <text>
        <r>
          <rPr>
            <b/>
            <sz val="9"/>
            <color indexed="81"/>
            <rFont val="Tahoma"/>
            <family val="2"/>
          </rPr>
          <t>Rob:</t>
        </r>
        <r>
          <rPr>
            <sz val="9"/>
            <color indexed="81"/>
            <rFont val="Tahoma"/>
            <family val="2"/>
          </rPr>
          <t xml:space="preserve">
On 9/7/2017, bought 110 shares of Aetna at 159.784 for total of $17,576.24</t>
        </r>
      </text>
    </comment>
    <comment ref="FT24" authorId="1" shapeId="0" xr:uid="{00000000-0006-0000-0000-000068000000}">
      <text>
        <r>
          <rPr>
            <b/>
            <sz val="9"/>
            <color indexed="81"/>
            <rFont val="Tahoma"/>
            <family val="2"/>
          </rPr>
          <t>Rob:</t>
        </r>
        <r>
          <rPr>
            <sz val="9"/>
            <color indexed="81"/>
            <rFont val="Tahoma"/>
            <family val="2"/>
          </rPr>
          <t xml:space="preserve">
9/7/2017 - Bought 300 shares of Ishares core MSCI EAFE ETF (IEFA) at 63.2163 ($18,964.89) in Managed Joint acct</t>
        </r>
      </text>
    </comment>
    <comment ref="FU24" authorId="1" shapeId="0" xr:uid="{00000000-0006-0000-0000-000069000000}">
      <text>
        <r>
          <rPr>
            <b/>
            <sz val="9"/>
            <color indexed="81"/>
            <rFont val="Tahoma"/>
            <family val="2"/>
          </rPr>
          <t>Rob:</t>
        </r>
        <r>
          <rPr>
            <sz val="9"/>
            <color indexed="81"/>
            <rFont val="Tahoma"/>
            <family val="2"/>
          </rPr>
          <t xml:space="preserve">
9/7/2017 - Bought 250 shares of IShares Emerging Mkt ETF (IEMG) at 54.4494 ($13,612.35) in Managed Joint acct</t>
        </r>
      </text>
    </comment>
    <comment ref="GR24" authorId="1" shapeId="0" xr:uid="{00000000-0006-0000-0000-00006A000000}">
      <text>
        <r>
          <rPr>
            <b/>
            <sz val="9"/>
            <color indexed="81"/>
            <rFont val="Tahoma"/>
            <family val="2"/>
          </rPr>
          <t>Rob:</t>
        </r>
        <r>
          <rPr>
            <sz val="9"/>
            <color indexed="81"/>
            <rFont val="Tahoma"/>
            <family val="2"/>
          </rPr>
          <t xml:space="preserve">
9/7/2017 - Bought 175 shares of Union Pacific (UNP) at 105.6262 ($18,484.59) in Managed Joint acct</t>
        </r>
      </text>
    </comment>
    <comment ref="IR24" authorId="1" shapeId="0" xr:uid="{00000000-0006-0000-0000-00006B000000}">
      <text>
        <r>
          <rPr>
            <b/>
            <sz val="9"/>
            <color indexed="81"/>
            <rFont val="Tahoma"/>
            <family val="2"/>
          </rPr>
          <t>Rob:</t>
        </r>
        <r>
          <rPr>
            <sz val="9"/>
            <color indexed="81"/>
            <rFont val="Tahoma"/>
            <family val="2"/>
          </rPr>
          <t xml:space="preserve">
9/7/2017 - Bought 100 shares of Ishares Mid-cap ETF (IJH) at 171.1861 ($17,118.61) in Managed Rob's IRA</t>
        </r>
      </text>
    </comment>
    <comment ref="IS24" authorId="1" shapeId="0" xr:uid="{00000000-0006-0000-0000-00006C000000}">
      <text>
        <r>
          <rPr>
            <b/>
            <sz val="9"/>
            <color indexed="81"/>
            <rFont val="Tahoma"/>
            <family val="2"/>
          </rPr>
          <t>Rob:</t>
        </r>
        <r>
          <rPr>
            <sz val="9"/>
            <color indexed="81"/>
            <rFont val="Tahoma"/>
            <family val="2"/>
          </rPr>
          <t xml:space="preserve">
9/7/2017 - Bought 250 shares of Ishares small cap ETF (IJR) at 68.785 ($17,196.25) in Managed Rob's IRA</t>
        </r>
      </text>
    </comment>
    <comment ref="IU24" authorId="1" shapeId="0" xr:uid="{00000000-0006-0000-0000-00006D000000}">
      <text>
        <r>
          <rPr>
            <b/>
            <sz val="9"/>
            <color indexed="81"/>
            <rFont val="Tahoma"/>
            <family val="2"/>
          </rPr>
          <t>Rob:</t>
        </r>
        <r>
          <rPr>
            <sz val="9"/>
            <color indexed="81"/>
            <rFont val="Tahoma"/>
            <family val="2"/>
          </rPr>
          <t xml:space="preserve">
9/7/2017 - Bought 80 shares of IShares S&amp;P500 ETF (IVV) at 248.4434 ($19,875.47) in Managed Rob's IRA</t>
        </r>
      </text>
    </comment>
    <comment ref="KE24" authorId="1" shapeId="0" xr:uid="{00000000-0006-0000-0000-00006E000000}">
      <text>
        <r>
          <rPr>
            <b/>
            <sz val="9"/>
            <color indexed="81"/>
            <rFont val="Tahoma"/>
            <family val="2"/>
          </rPr>
          <t>Rob:</t>
        </r>
        <r>
          <rPr>
            <sz val="9"/>
            <color indexed="81"/>
            <rFont val="Tahoma"/>
            <family val="2"/>
          </rPr>
          <t xml:space="preserve">
9/7/2017 - Sold 150 shares of Vanguard Consumer Staples ETF (VDC) at 141.66 ($21,248.50) in Managed Rob's IRA.  This leaves 157.644 shares remaining</t>
        </r>
      </text>
    </comment>
    <comment ref="KH24" authorId="1" shapeId="0" xr:uid="{00000000-0006-0000-0000-00006F000000}">
      <text>
        <r>
          <rPr>
            <b/>
            <sz val="9"/>
            <color indexed="81"/>
            <rFont val="Tahoma"/>
            <family val="2"/>
          </rPr>
          <t>Rob:</t>
        </r>
        <r>
          <rPr>
            <sz val="9"/>
            <color indexed="81"/>
            <rFont val="Tahoma"/>
            <family val="2"/>
          </rPr>
          <t xml:space="preserve">
9/7/2017 - Sold 200 shares of Vanguard Health Care ETF (VHT) at 152.4389 ($30,487.07) in Managed Rob's IRA.  This leaves 214.528 shares remaining.</t>
        </r>
      </text>
    </comment>
    <comment ref="KJ24" authorId="1" shapeId="0" xr:uid="{00000000-0006-0000-0000-000070000000}">
      <text>
        <r>
          <rPr>
            <b/>
            <sz val="11"/>
            <color indexed="81"/>
            <rFont val="Tahoma"/>
            <family val="2"/>
          </rPr>
          <t>Rob:</t>
        </r>
        <r>
          <rPr>
            <sz val="11"/>
            <color indexed="81"/>
            <rFont val="Tahoma"/>
            <family val="2"/>
          </rPr>
          <t xml:space="preserve">
9/7/2017 - Sold 200 shares of Vanguard Industrials ETF (VIS) at 127.7368 ($25,546.76) in Managed Rob's IRA.  This leaves 183.915 shares remaining.</t>
        </r>
      </text>
    </comment>
    <comment ref="KL24" authorId="1" shapeId="0" xr:uid="{00000000-0006-0000-0000-000071000000}">
      <text>
        <r>
          <rPr>
            <b/>
            <sz val="9"/>
            <color indexed="81"/>
            <rFont val="Tahoma"/>
            <family val="2"/>
          </rPr>
          <t>Rob:</t>
        </r>
        <r>
          <rPr>
            <sz val="9"/>
            <color indexed="81"/>
            <rFont val="Tahoma"/>
            <family val="2"/>
          </rPr>
          <t xml:space="preserve">
8/31/2017 - Bought 200 shares of Vanguard REIT ETF (VNQ) at 84.2353 ($16,847.06) in Managed Rob's IRA</t>
        </r>
      </text>
    </comment>
    <comment ref="AX25" authorId="1" shapeId="0" xr:uid="{00000000-0006-0000-0000-000072000000}">
      <text>
        <r>
          <rPr>
            <b/>
            <sz val="9"/>
            <color indexed="81"/>
            <rFont val="Tahoma"/>
            <family val="2"/>
          </rPr>
          <t>Rob:</t>
        </r>
        <r>
          <rPr>
            <sz val="9"/>
            <color indexed="81"/>
            <rFont val="Tahoma"/>
            <family val="2"/>
          </rPr>
          <t xml:space="preserve">
10/3/2017 - Fidelity bought $12k of FNMIX (728.155 at 16.48 for $12,000)</t>
        </r>
      </text>
    </comment>
    <comment ref="BA25" authorId="1" shapeId="0" xr:uid="{00000000-0006-0000-0000-000073000000}">
      <text>
        <r>
          <rPr>
            <b/>
            <sz val="9"/>
            <color indexed="81"/>
            <rFont val="Tahoma"/>
            <family val="2"/>
          </rPr>
          <t>Rob:</t>
        </r>
        <r>
          <rPr>
            <sz val="9"/>
            <color indexed="81"/>
            <rFont val="Tahoma"/>
            <family val="2"/>
          </rPr>
          <t xml:space="preserve">
10/3/2017 - Fidelity bought $24k of FTBFX (2,238.806 @10.72 for $24,000)</t>
        </r>
      </text>
    </comment>
    <comment ref="BH25" authorId="1" shapeId="0" xr:uid="{00000000-0006-0000-0000-000074000000}">
      <text>
        <r>
          <rPr>
            <b/>
            <sz val="9"/>
            <color indexed="81"/>
            <rFont val="Tahoma"/>
            <family val="2"/>
          </rPr>
          <t>Rob:</t>
        </r>
        <r>
          <rPr>
            <sz val="9"/>
            <color indexed="81"/>
            <rFont val="Tahoma"/>
            <family val="2"/>
          </rPr>
          <t xml:space="preserve">
10/3/2017 - Fidelity bought $16k of GIBLX (591.716 at 27.04 for $16,000)
This purchase brings total shares to 1,335.755</t>
        </r>
      </text>
    </comment>
    <comment ref="CC25" authorId="1" shapeId="0" xr:uid="{00000000-0006-0000-0000-000075000000}">
      <text>
        <r>
          <rPr>
            <b/>
            <sz val="9"/>
            <color indexed="81"/>
            <rFont val="Tahoma"/>
            <family val="2"/>
          </rPr>
          <t>Rob:</t>
        </r>
        <r>
          <rPr>
            <sz val="9"/>
            <color indexed="81"/>
            <rFont val="Tahoma"/>
            <family val="2"/>
          </rPr>
          <t xml:space="preserve">
9/18/2017 - Sold 5,212.858 shares of THOPX at 11.51 ($60,000.00)</t>
        </r>
      </text>
    </comment>
    <comment ref="CU25" authorId="1" shapeId="0" xr:uid="{DFFEBF26-639F-421B-A80F-08A43E76C114}">
      <text>
        <r>
          <rPr>
            <b/>
            <sz val="9"/>
            <color indexed="81"/>
            <rFont val="Tahoma"/>
            <family val="2"/>
          </rPr>
          <t>Rob:</t>
        </r>
        <r>
          <rPr>
            <sz val="9"/>
            <color indexed="81"/>
            <rFont val="Tahoma"/>
            <family val="2"/>
          </rPr>
          <t xml:space="preserve">
9/12/2017 - Bought 15 shares of Wells Fargo Preferred stock (WFCPRL) at 1,329.80 ($19,947) in Managed Rob's IRA</t>
        </r>
      </text>
    </comment>
    <comment ref="HP25" authorId="1" shapeId="0" xr:uid="{00000000-0006-0000-0000-000076000000}">
      <text>
        <r>
          <rPr>
            <b/>
            <sz val="9"/>
            <color indexed="81"/>
            <rFont val="Tahoma"/>
            <family val="2"/>
          </rPr>
          <t>Rob:</t>
        </r>
        <r>
          <rPr>
            <sz val="9"/>
            <color indexed="81"/>
            <rFont val="Tahoma"/>
            <family val="2"/>
          </rPr>
          <t xml:space="preserve">
10/3/2017 - Bought 400 shares of BCE at 46.915 ($18,766) in Managed Rob's IRA</t>
        </r>
      </text>
    </comment>
    <comment ref="IC25" authorId="1" shapeId="0" xr:uid="{00000000-0006-0000-0000-000077000000}">
      <text>
        <r>
          <rPr>
            <b/>
            <sz val="9"/>
            <color indexed="81"/>
            <rFont val="Tahoma"/>
            <family val="2"/>
          </rPr>
          <t>Rob:</t>
        </r>
        <r>
          <rPr>
            <sz val="9"/>
            <color indexed="81"/>
            <rFont val="Tahoma"/>
            <family val="2"/>
          </rPr>
          <t xml:space="preserve">
9/20/2017 - Bought 175 shares of Quest Diagnostics (DCX) at 101.7353 ($17,803.68) in Managed Rob's IRA</t>
        </r>
      </text>
    </comment>
    <comment ref="KF25" authorId="1" shapeId="0" xr:uid="{00000000-0006-0000-0000-000078000000}">
      <text>
        <r>
          <rPr>
            <b/>
            <sz val="9"/>
            <color indexed="81"/>
            <rFont val="Tahoma"/>
            <family val="2"/>
          </rPr>
          <t>Rob:</t>
        </r>
        <r>
          <rPr>
            <sz val="9"/>
            <color indexed="81"/>
            <rFont val="Tahoma"/>
            <family val="2"/>
          </rPr>
          <t xml:space="preserve">
10/3/2017 - Sold 105 shares of Vanguard Energy ETF (VDE) at 93.60 ($9.827.77) in Managed Rob's IRA
This leaves 150.606 shares remaining</t>
        </r>
      </text>
    </comment>
    <comment ref="KH25" authorId="1" shapeId="0" xr:uid="{00000000-0006-0000-0000-000079000000}">
      <text>
        <r>
          <rPr>
            <b/>
            <sz val="9"/>
            <color indexed="81"/>
            <rFont val="Tahoma"/>
            <family val="2"/>
          </rPr>
          <t>Rob:</t>
        </r>
        <r>
          <rPr>
            <sz val="9"/>
            <color indexed="81"/>
            <rFont val="Tahoma"/>
            <family val="2"/>
          </rPr>
          <t xml:space="preserve">
9/20/2017 - Sold 120 shares of Vanguard Health Care ETF (VHT) at 152.5977 ($18,311.29) in Managed Rob's IRA.  After this sale, there are 94.528 shares left</t>
        </r>
      </text>
    </comment>
    <comment ref="KJ25" authorId="1" shapeId="0" xr:uid="{00000000-0006-0000-0000-00007A000000}">
      <text>
        <r>
          <rPr>
            <b/>
            <sz val="9"/>
            <color indexed="81"/>
            <rFont val="Tahoma"/>
            <family val="2"/>
          </rPr>
          <t>Rob:</t>
        </r>
        <r>
          <rPr>
            <sz val="9"/>
            <color indexed="81"/>
            <rFont val="Tahoma"/>
            <family val="2"/>
          </rPr>
          <t xml:space="preserve">
10/3/2017 - Sold 60 shares of Vanguard Industrials ETF (VIS) at 135.7358 ($8,143.96) in Managed Rob's IRA
This leaves 123.915 shares remaining</t>
        </r>
      </text>
    </comment>
    <comment ref="KP25" authorId="1" shapeId="0" xr:uid="{00000000-0006-0000-0000-00007B000000}">
      <text>
        <r>
          <rPr>
            <b/>
            <sz val="9"/>
            <color indexed="81"/>
            <rFont val="Tahoma"/>
            <family val="2"/>
          </rPr>
          <t>Rob:</t>
        </r>
        <r>
          <rPr>
            <sz val="9"/>
            <color indexed="81"/>
            <rFont val="Tahoma"/>
            <family val="2"/>
          </rPr>
          <t xml:space="preserve">
9/12/2017 - Bought 15 shares of Wells Fargo Preferred stock (WFCPRL) at 1,329.80 ($19,947) in Managed Rob's IRA</t>
        </r>
      </text>
    </comment>
    <comment ref="C28" authorId="1" shapeId="0" xr:uid="{00000000-0006-0000-0000-00007C000000}">
      <text>
        <r>
          <rPr>
            <b/>
            <sz val="9"/>
            <color indexed="81"/>
            <rFont val="Tahoma"/>
            <family val="2"/>
          </rPr>
          <t>Rob:</t>
        </r>
        <r>
          <rPr>
            <sz val="9"/>
            <color indexed="81"/>
            <rFont val="Tahoma"/>
            <family val="2"/>
          </rPr>
          <t xml:space="preserve">
Xferred $29k to FirstBank for living expenses.  Xferred $6.3k into Joint from Kath's IRA to take advantage of lower tax rate</t>
        </r>
      </text>
    </comment>
    <comment ref="R28" authorId="1" shapeId="0" xr:uid="{00000000-0006-0000-0000-00007D000000}">
      <text>
        <r>
          <rPr>
            <b/>
            <sz val="9"/>
            <color indexed="81"/>
            <rFont val="Tahoma"/>
            <family val="2"/>
          </rPr>
          <t>Rob:</t>
        </r>
        <r>
          <rPr>
            <sz val="9"/>
            <color indexed="81"/>
            <rFont val="Tahoma"/>
            <family val="2"/>
          </rPr>
          <t xml:space="preserve">
Transferred this fund from Kath's IRA</t>
        </r>
      </text>
    </comment>
    <comment ref="CC28" authorId="1" shapeId="0" xr:uid="{00000000-0006-0000-0000-00007E000000}">
      <text>
        <r>
          <rPr>
            <b/>
            <sz val="9"/>
            <color indexed="81"/>
            <rFont val="Tahoma"/>
            <family val="2"/>
          </rPr>
          <t>Rob:</t>
        </r>
        <r>
          <rPr>
            <sz val="9"/>
            <color indexed="81"/>
            <rFont val="Tahoma"/>
            <family val="2"/>
          </rPr>
          <t xml:space="preserve">
Sold $29k of THOPX to increase cash position</t>
        </r>
      </text>
    </comment>
    <comment ref="NZ28" authorId="1" shapeId="0" xr:uid="{00000000-0006-0000-0000-00007F000000}">
      <text>
        <r>
          <rPr>
            <b/>
            <sz val="9"/>
            <color indexed="81"/>
            <rFont val="Tahoma"/>
            <family val="2"/>
          </rPr>
          <t>Rob:</t>
        </r>
        <r>
          <rPr>
            <sz val="9"/>
            <color indexed="81"/>
            <rFont val="Tahoma"/>
            <family val="2"/>
          </rPr>
          <t xml:space="preserve">
Transferred this fund to Joint accunt</t>
        </r>
      </text>
    </comment>
    <comment ref="HB29" authorId="1" shapeId="0" xr:uid="{00000000-0006-0000-0000-000080000000}">
      <text>
        <r>
          <rPr>
            <b/>
            <sz val="9"/>
            <color indexed="81"/>
            <rFont val="Tahoma"/>
            <family val="2"/>
          </rPr>
          <t>Rob:</t>
        </r>
        <r>
          <rPr>
            <sz val="9"/>
            <color indexed="81"/>
            <rFont val="Tahoma"/>
            <family val="2"/>
          </rPr>
          <t xml:space="preserve">
Advisory fee</t>
        </r>
      </text>
    </comment>
    <comment ref="EZ30" authorId="1" shapeId="0" xr:uid="{00000000-0006-0000-0000-000081000000}">
      <text>
        <r>
          <rPr>
            <b/>
            <sz val="9"/>
            <color indexed="81"/>
            <rFont val="Tahoma"/>
            <family val="2"/>
          </rPr>
          <t>Rob:</t>
        </r>
        <r>
          <rPr>
            <sz val="9"/>
            <color indexed="81"/>
            <rFont val="Tahoma"/>
            <family val="2"/>
          </rPr>
          <t xml:space="preserve">
Because of the short term cap gain created by the sale of CSCO, tax loss harvesting was done by selling all 450 PPL at 31.2746 ($14,073.24) at a loss, and buying 275 AEE at 55.1855 ($15,176.01)</t>
        </r>
      </text>
    </comment>
    <comment ref="FH30" authorId="1" shapeId="0" xr:uid="{00000000-0006-0000-0000-000082000000}">
      <text>
        <r>
          <rPr>
            <b/>
            <sz val="9"/>
            <color indexed="81"/>
            <rFont val="Tahoma"/>
            <family val="2"/>
          </rPr>
          <t>Rob:</t>
        </r>
        <r>
          <rPr>
            <sz val="9"/>
            <color indexed="81"/>
            <rFont val="Tahoma"/>
            <family val="2"/>
          </rPr>
          <t xml:space="preserve">
Sold 200 CISCO at 55.1855 ($15,176.01) to generate cash for future monthly distributions.  400 shares remain in the account after the sale.
This will create a short term cap gain</t>
        </r>
      </text>
    </comment>
    <comment ref="GK30" authorId="1" shapeId="0" xr:uid="{00000000-0006-0000-0000-000083000000}">
      <text>
        <r>
          <rPr>
            <b/>
            <sz val="9"/>
            <color indexed="81"/>
            <rFont val="Tahoma"/>
            <family val="2"/>
          </rPr>
          <t>Rob:</t>
        </r>
        <r>
          <rPr>
            <sz val="9"/>
            <color indexed="81"/>
            <rFont val="Tahoma"/>
            <family val="2"/>
          </rPr>
          <t xml:space="preserve">
Because of the short term cap gain created by the sale of CSCO, tax loss harvesting was done by selling all 450 PPL at 31.2746 ($14,073.24) at a loss, and buying 275 AEE at 55.1855 ($15,176.01)</t>
        </r>
      </text>
    </comment>
    <comment ref="HB30" authorId="1" shapeId="0" xr:uid="{00000000-0006-0000-0000-000084000000}">
      <text>
        <r>
          <rPr>
            <b/>
            <sz val="9"/>
            <color indexed="81"/>
            <rFont val="Tahoma"/>
            <family val="2"/>
          </rPr>
          <t>Rob:</t>
        </r>
        <r>
          <rPr>
            <sz val="9"/>
            <color indexed="81"/>
            <rFont val="Tahoma"/>
            <family val="2"/>
          </rPr>
          <t xml:space="preserve">
Advisory fee</t>
        </r>
      </text>
    </comment>
    <comment ref="HT30" authorId="1" shapeId="0" xr:uid="{00000000-0006-0000-0000-000085000000}">
      <text>
        <r>
          <rPr>
            <b/>
            <sz val="9"/>
            <color indexed="81"/>
            <rFont val="Tahoma"/>
            <family val="2"/>
          </rPr>
          <t>Rob:</t>
        </r>
        <r>
          <rPr>
            <sz val="9"/>
            <color indexed="81"/>
            <rFont val="Tahoma"/>
            <family val="2"/>
          </rPr>
          <t xml:space="preserve">
GGS sold all 94 shares of VHT at167.2737 ($15,723.73) so they could purchase 250 CERN at 69.45 ($17,362.50).</t>
        </r>
      </text>
    </comment>
    <comment ref="KH30" authorId="1" shapeId="0" xr:uid="{00000000-0006-0000-0000-000086000000}">
      <text>
        <r>
          <rPr>
            <b/>
            <sz val="9"/>
            <color indexed="81"/>
            <rFont val="Tahoma"/>
            <family val="2"/>
          </rPr>
          <t>Rob:</t>
        </r>
        <r>
          <rPr>
            <sz val="9"/>
            <color indexed="81"/>
            <rFont val="Tahoma"/>
            <family val="2"/>
          </rPr>
          <t xml:space="preserve">
GGS sold all 94 shares of VHT at167.2737 ($15,723.73) so they could purchase 250 CERN at 69.45 ($17,362.50).</t>
        </r>
      </text>
    </comment>
    <comment ref="KY30" authorId="1" shapeId="0" xr:uid="{00000000-0006-0000-0000-000087000000}">
      <text>
        <r>
          <rPr>
            <b/>
            <sz val="9"/>
            <color indexed="81"/>
            <rFont val="Tahoma"/>
            <family val="2"/>
          </rPr>
          <t>Rob:</t>
        </r>
        <r>
          <rPr>
            <sz val="9"/>
            <color indexed="81"/>
            <rFont val="Tahoma"/>
            <family val="2"/>
          </rPr>
          <t xml:space="preserve">
Advisory fee</t>
        </r>
      </text>
    </comment>
    <comment ref="NX30" authorId="1" shapeId="0" xr:uid="{00000000-0006-0000-0000-000088000000}">
      <text>
        <r>
          <rPr>
            <b/>
            <sz val="9"/>
            <color indexed="81"/>
            <rFont val="Tahoma"/>
            <family val="2"/>
          </rPr>
          <t>Rob:</t>
        </r>
        <r>
          <rPr>
            <sz val="9"/>
            <color indexed="81"/>
            <rFont val="Tahoma"/>
            <family val="2"/>
          </rPr>
          <t xml:space="preserve">
Sold this fund on 1/23/2018 so tht I could purchase OAKIX</t>
        </r>
      </text>
    </comment>
    <comment ref="OC30" authorId="1" shapeId="0" xr:uid="{00000000-0006-0000-0000-000089000000}">
      <text>
        <r>
          <rPr>
            <b/>
            <sz val="9"/>
            <color indexed="81"/>
            <rFont val="Tahoma"/>
            <family val="2"/>
          </rPr>
          <t>Rob:</t>
        </r>
        <r>
          <rPr>
            <sz val="9"/>
            <color indexed="81"/>
            <rFont val="Tahoma"/>
            <family val="2"/>
          </rPr>
          <t xml:space="preserve">
Purchased this fund on 1/24/2018 with money from sale of DREGX
</t>
        </r>
      </text>
    </comment>
    <comment ref="JO31" authorId="1" shapeId="0" xr:uid="{00000000-0006-0000-0000-00008A000000}">
      <text>
        <r>
          <rPr>
            <b/>
            <sz val="9"/>
            <color indexed="81"/>
            <rFont val="Tahoma"/>
            <family val="2"/>
          </rPr>
          <t>Rob:</t>
        </r>
        <r>
          <rPr>
            <sz val="9"/>
            <color indexed="81"/>
            <rFont val="Tahoma"/>
            <family val="2"/>
          </rPr>
          <t xml:space="preserve">
National Oilwell Varco (NOV)
In the process of our continuing due diligence on National Oilwell Varco, we have revised our intrinsic value of the firm lower, and therefore believe it is in the best interest of our clients to sell the shares of the company. The reason for this revision is our evolving view of the oil cycle moving forward. When estimating National Oilwell Varco’s mid-cycle earnings power, we considered where profit margins had been at previous points in the cycle, and the sales they were able to generate per non-cash asset. The evolution of our view was that the high points of the previous oil cycle will not be indicative of the high points of oil cycles going forward. Given this assumption, the more expensive methods of oil extraction, such as deepwater and ultra-deepwater offshore drilling, would not be cost effective for most oil companies. It would follow that the market for deepwater and ultra-deepwater drilling has seen its secular peak. This has a detrimental effect on NOV, because although the company manufactures products for both the onshore and offshore markets, the offshore drilling market had historically been higher margin.
Given our revised outlook for oil moving forward, and by extension the offshore drilling market, we were forced to revise our mid-cycles earnings power of National Oilwell Varco lower. The earnings power that we now assume for the company would suggest that shares our currently overvalued, and therefore it is in the best interest of our clients to sell the shares of the company.
Valero (VLO)
Valero is one of the largest refiners in the country, with refining capacity of over 2.6 million barrels per day in the US, and an additional 550 thousand in the UK and Canada. The US refineries reflect over 14% of the refining capacity in the US. Valero also operates ethanol plants that have a combined production capacity of 1.45 billion gallons per year.
Unlike the major integrated oil companies, Valero is a focused company that does not depend on incremental oil discoveries to maintain its asset base. Like other oil companies, Valero is influenced by the oil cycle. While the company is not influenced by the price of crude oil directly, a general economic decline would result in a reduction in product demand, such as gasoline and distillates. The downward pressure on demand can lower the utilization of refineries, affecting profitability. Also, because the company purchases a globally traded commodity, and refines it into other globally traded commodities, the spread between the crude oil it purchases, and the refined products it sells, affects its profitability. Unlike oil companies, or oil service companies, which may require a minimum price of crude oil to be profitable, the spreads and volumes described above are much more important to Valero, allowing it to thrive in either a high oil price or low oil price environment.
Like other oil-related companies, we analyze the profitability of Valero over the course of a cycle to estimate its mid-cycle earnings power. We couple this with financial projections to determine an intrinsic value. Based on our analysis, we believe the company is currently undervalued, even after the recent move higher over the last 5 months. Given the differentiated exposure to oil markets and current valuation, we believe shares of VLO are worth adding to client portfolios, as appropriate, given outstanding energy exposure and individual risk considerations.</t>
        </r>
      </text>
    </comment>
    <comment ref="KK31" authorId="1" shapeId="0" xr:uid="{00000000-0006-0000-0000-00008B000000}">
      <text>
        <r>
          <rPr>
            <b/>
            <sz val="9"/>
            <color indexed="81"/>
            <rFont val="Tahoma"/>
            <family val="2"/>
          </rPr>
          <t>Rob:</t>
        </r>
        <r>
          <rPr>
            <sz val="9"/>
            <color indexed="81"/>
            <rFont val="Tahoma"/>
            <family val="2"/>
          </rPr>
          <t xml:space="preserve">
National Oilwell Varco (NOV)
In the process of our continuing due diligence on National Oilwell Varco, we have revised our intrinsic value of the firm lower, and therefore believe it is in the best interest of our clients to sell the shares of the company. The reason for this revision is our evolving view of the oil cycle moving forward. When estimating National Oilwell Varco’s mid-cycle earnings power, we considered where profit margins had been at previous points in the cycle, and the sales they were able to generate per non-cash asset. The evolution of our view was that the high points of the previous oil cycle will not be indicative of the high points of oil cycles going forward. Given this assumption, the more expensive methods of oil extraction, such as deepwater and ultra-deepwater offshore drilling, would not be cost effective for most oil companies. It would follow that the market for deepwater and ultra-deepwater drilling has seen its secular peak. This has a detrimental effect on NOV, because although the company manufactures products for both the onshore and offshore markets, the offshore drilling market had historically been higher margin.
Given our revised outlook for oil moving forward, and by extension the offshore drilling market, we were forced to revise our mid-cycles earnings power of National Oilwell Varco lower. The earnings power that we now assume for the company would suggest that shares our currently overvalued, and therefore it is in the best interest of our clients to sell the shares of the company.
Valero (VLO)
Valero is one of the largest refiners in the country, with refining capacity of over 2.6 million barrels per day in the US, and an additional 550 thousand in the UK and Canada. The US refineries reflect over 14% of the refining capacity in the US. Valero also operates ethanol plants that have a combined production capacity of 1.45 billion gallons per year.
Unlike the major integrated oil companies, Valero is a focused company that does not depend on incremental oil discoveries to maintain its asset base. Like other oil companies, Valero is influenced by the oil cycle. While the company is not influenced by the price of crude oil directly, a general economic decline would result in a reduction in product demand, such as gasoline and distillates. The downward pressure on demand can lower the utilization of refineries, affecting profitability. Also, because the company purchases a globally traded commodity, and refines it into other globally traded commodities, the spread between the crude oil it purchases, and the refined products it sells, affects its profitability. Unlike oil companies, or oil service companies, which may require a minimum price of crude oil to be profitable, the spreads and volumes described above are much more important to Valero, allowing it to thrive in either a high oil price or low oil price environment.
Like other oil-related companies, we analyze the profitability of Valero over the course of a cycle to estimate its mid-cycle earnings power. We couple this with financial projections to determine an intrinsic value. Based on our analysis, we believe the company is currently undervalued, even after the recent move higher over the last 5 months. Given the differentiated exposure to oil markets and current valuation, we believe shares of VLO are worth adding to client portfolios, as appropriate, given outstanding energy exposure and individual risk considerations.</t>
        </r>
      </text>
    </comment>
    <comment ref="GA32" authorId="1" shapeId="0" xr:uid="{00000000-0006-0000-0000-00008C000000}">
      <text>
        <r>
          <rPr>
            <b/>
            <sz val="9"/>
            <color indexed="81"/>
            <rFont val="Tahoma"/>
            <family val="2"/>
          </rPr>
          <t xml:space="preserve">Rob:
</t>
        </r>
        <r>
          <rPr>
            <sz val="9"/>
            <color indexed="81"/>
            <rFont val="Tahoma"/>
            <family val="2"/>
          </rPr>
          <t>3/28/2018 GGS sold 20 shares of Mastercard (MA) at 170.89 ($3,417.72)
120 shares remaining
Purpose: to create cash for the upcoming April distribution</t>
        </r>
      </text>
    </comment>
    <comment ref="IU32" authorId="1" shapeId="0" xr:uid="{00000000-0006-0000-0000-00008D000000}">
      <text>
        <r>
          <rPr>
            <b/>
            <sz val="9"/>
            <color indexed="81"/>
            <rFont val="Tahoma"/>
            <family val="2"/>
          </rPr>
          <t>Rob:</t>
        </r>
        <r>
          <rPr>
            <sz val="9"/>
            <color indexed="81"/>
            <rFont val="Tahoma"/>
            <family val="2"/>
          </rPr>
          <t xml:space="preserve">
3/26/2018 GGS felt the portfolio was underweight in Financials.  They sold all 80 shares of IVV at 266.3702 ($21,309.12)
Then bought 750 shares of XLF at 28.72 ($20,790)</t>
        </r>
      </text>
    </comment>
    <comment ref="KS32" authorId="1" shapeId="0" xr:uid="{00000000-0006-0000-0000-00008E000000}">
      <text>
        <r>
          <rPr>
            <b/>
            <sz val="9"/>
            <color indexed="81"/>
            <rFont val="Tahoma"/>
            <family val="2"/>
          </rPr>
          <t>Rob:</t>
        </r>
        <r>
          <rPr>
            <sz val="9"/>
            <color indexed="81"/>
            <rFont val="Tahoma"/>
            <family val="2"/>
          </rPr>
          <t xml:space="preserve">
3/26/2018 GGS felt the portfolio was underweight in Financials.  They sold all 80 shares of IVV at 266.3702 ($21,309.12)
Then bought 750 shares of XLF at 28.72 ($20,790)</t>
        </r>
      </text>
    </comment>
    <comment ref="HB33" authorId="1" shapeId="0" xr:uid="{7D13326E-81F6-4536-8ACF-4E55A96D2CF0}">
      <text>
        <r>
          <rPr>
            <b/>
            <sz val="9"/>
            <color indexed="81"/>
            <rFont val="Tahoma"/>
            <family val="2"/>
          </rPr>
          <t>Rob:</t>
        </r>
        <r>
          <rPr>
            <sz val="9"/>
            <color indexed="81"/>
            <rFont val="Tahoma"/>
            <family val="2"/>
          </rPr>
          <t xml:space="preserve">
GGS Advisory Fee</t>
        </r>
      </text>
    </comment>
    <comment ref="KY33" authorId="1" shapeId="0" xr:uid="{276DA23A-723E-4B11-9B5D-C1715BC2B8D4}">
      <text>
        <r>
          <rPr>
            <b/>
            <sz val="9"/>
            <color indexed="81"/>
            <rFont val="Tahoma"/>
            <family val="2"/>
          </rPr>
          <t>Rob:</t>
        </r>
        <r>
          <rPr>
            <sz val="9"/>
            <color indexed="81"/>
            <rFont val="Tahoma"/>
            <family val="2"/>
          </rPr>
          <t xml:space="preserve">
GGS Advisory fee</t>
        </r>
      </text>
    </comment>
    <comment ref="GR35" authorId="1" shapeId="0" xr:uid="{E97CEA9D-3A10-421B-B689-F5C38A70EB25}">
      <text>
        <r>
          <rPr>
            <b/>
            <sz val="9"/>
            <color indexed="81"/>
            <rFont val="Tahoma"/>
            <family val="2"/>
          </rPr>
          <t>Rob:</t>
        </r>
        <r>
          <rPr>
            <sz val="9"/>
            <color indexed="81"/>
            <rFont val="Tahoma"/>
            <family val="2"/>
          </rPr>
          <t xml:space="preserve">
5/31/2018 Sold 15 UNP.  Still hold 160 shares.</t>
        </r>
      </text>
    </comment>
    <comment ref="HB37" authorId="1" shapeId="0" xr:uid="{BF179CB5-350B-4508-9D63-3E5141A77337}">
      <text>
        <r>
          <rPr>
            <b/>
            <sz val="9"/>
            <color indexed="81"/>
            <rFont val="Tahoma"/>
            <family val="2"/>
          </rPr>
          <t>Rob:</t>
        </r>
        <r>
          <rPr>
            <sz val="9"/>
            <color indexed="81"/>
            <rFont val="Tahoma"/>
            <family val="2"/>
          </rPr>
          <t xml:space="preserve">
Advisory fee</t>
        </r>
      </text>
    </comment>
    <comment ref="KY37" authorId="1" shapeId="0" xr:uid="{9A57E9C8-20F5-4845-B470-DBB99595B7D5}">
      <text>
        <r>
          <rPr>
            <b/>
            <sz val="9"/>
            <color indexed="81"/>
            <rFont val="Tahoma"/>
            <family val="2"/>
          </rPr>
          <t>Rob:</t>
        </r>
        <r>
          <rPr>
            <sz val="9"/>
            <color indexed="81"/>
            <rFont val="Tahoma"/>
            <family val="2"/>
          </rPr>
          <t xml:space="preserve">
Advisory fee</t>
        </r>
      </text>
    </comment>
    <comment ref="EY39" authorId="1" shapeId="0" xr:uid="{505493F9-A0E5-4A71-8EE8-AC39DFEC3330}">
      <text>
        <r>
          <rPr>
            <b/>
            <sz val="9"/>
            <color indexed="81"/>
            <rFont val="Tahoma"/>
            <family val="2"/>
          </rPr>
          <t>Rob:</t>
        </r>
        <r>
          <rPr>
            <sz val="9"/>
            <color indexed="81"/>
            <rFont val="Tahoma"/>
            <family val="2"/>
          </rPr>
          <t xml:space="preserve">
8/31/2018 Sold 15 shares of AAPL @225.0748 ($3,376.12)
90 shares left</t>
        </r>
      </text>
    </comment>
    <comment ref="EX40" authorId="1" shapeId="0" xr:uid="{5B8108DC-07E2-47C1-848C-880118C8F61C}">
      <text>
        <r>
          <rPr>
            <b/>
            <sz val="9"/>
            <color indexed="81"/>
            <rFont val="Tahoma"/>
            <family val="2"/>
          </rPr>
          <t>Rob:</t>
        </r>
        <r>
          <rPr>
            <sz val="9"/>
            <color indexed="81"/>
            <rFont val="Tahoma"/>
            <family val="2"/>
          </rPr>
          <t xml:space="preserve">
Fidelity changed this to FDRXX in Sep, 2018</t>
        </r>
      </text>
    </comment>
    <comment ref="GR40" authorId="1" shapeId="0" xr:uid="{F167ED69-B30D-4A63-9C1D-ACC55FD50D40}">
      <text>
        <r>
          <rPr>
            <b/>
            <sz val="9"/>
            <color indexed="81"/>
            <rFont val="Tahoma"/>
            <family val="2"/>
          </rPr>
          <t>Rob:</t>
        </r>
        <r>
          <rPr>
            <sz val="9"/>
            <color indexed="81"/>
            <rFont val="Tahoma"/>
            <family val="2"/>
          </rPr>
          <t xml:space="preserve">
Sold 20 shares UNP @164.045 ($3,280.90)
Still have 140 shares</t>
        </r>
      </text>
    </comment>
    <comment ref="C42" authorId="1" shapeId="0" xr:uid="{2BC2BE6C-C726-4834-8C23-9283EA11B4B3}">
      <text>
        <r>
          <rPr>
            <b/>
            <sz val="9"/>
            <color indexed="81"/>
            <rFont val="Tahoma"/>
            <family val="2"/>
          </rPr>
          <t>Rob:</t>
        </r>
        <r>
          <rPr>
            <sz val="9"/>
            <color indexed="81"/>
            <rFont val="Tahoma"/>
            <family val="2"/>
          </rPr>
          <t xml:space="preserve">
Transferred $15k to checking acct on 10/5/2018 for normal living expenses</t>
        </r>
      </text>
    </comment>
    <comment ref="AF42" authorId="1" shapeId="0" xr:uid="{094BE8FD-D190-4B44-A9E5-A23862DA4ABC}">
      <text>
        <r>
          <rPr>
            <b/>
            <sz val="9"/>
            <color indexed="81"/>
            <rFont val="Tahoma"/>
            <family val="2"/>
          </rPr>
          <t>Rob:</t>
        </r>
        <r>
          <rPr>
            <sz val="9"/>
            <color indexed="81"/>
            <rFont val="Tahoma"/>
            <family val="2"/>
          </rPr>
          <t xml:space="preserve">
Added two bonds to ladder:
-  Morgan Stanley bonds $25,000 due 11/17/21
-  Bank America bonds $25,000 due 10/21/22
</t>
        </r>
      </text>
    </comment>
    <comment ref="BA42" authorId="1" shapeId="0" xr:uid="{E873D3B1-5417-4459-BC56-81AA6FD214AD}">
      <text>
        <r>
          <rPr>
            <b/>
            <sz val="9"/>
            <color indexed="81"/>
            <rFont val="Tahoma"/>
            <family val="2"/>
          </rPr>
          <t>Rob:</t>
        </r>
        <r>
          <rPr>
            <sz val="9"/>
            <color indexed="81"/>
            <rFont val="Tahoma"/>
            <family val="2"/>
          </rPr>
          <t xml:space="preserve">
10/22/2018 - Sold all 2,312.108 at 10.21 ($23,606.62)</t>
        </r>
      </text>
    </comment>
    <comment ref="BH42" authorId="1" shapeId="0" xr:uid="{2A65DE21-444A-4F04-9786-0C4F7B9AF32B}">
      <text>
        <r>
          <rPr>
            <b/>
            <sz val="9"/>
            <color indexed="81"/>
            <rFont val="Tahoma"/>
            <family val="2"/>
          </rPr>
          <t>Rob:</t>
        </r>
        <r>
          <rPr>
            <sz val="9"/>
            <color indexed="81"/>
            <rFont val="Tahoma"/>
            <family val="2"/>
          </rPr>
          <t xml:space="preserve">
10/22/2018 - Sold all 1,371.113 at 26.48 ($36,307.07)</t>
        </r>
      </text>
    </comment>
    <comment ref="KA42" authorId="1" shapeId="0" xr:uid="{02BF8585-3C34-484D-A14D-4DEF0A169137}">
      <text>
        <r>
          <rPr>
            <b/>
            <sz val="9"/>
            <color indexed="81"/>
            <rFont val="Tahoma"/>
            <family val="2"/>
          </rPr>
          <t>Rob:</t>
        </r>
        <r>
          <rPr>
            <sz val="9"/>
            <color indexed="81"/>
            <rFont val="Tahoma"/>
            <family val="2"/>
          </rPr>
          <t xml:space="preserve">
11/1/2018 GGS bought 275 shares of US Bankcorp (USD) @ 52.135 ($14,337.13)</t>
        </r>
      </text>
    </comment>
    <comment ref="KM42" authorId="1" shapeId="0" xr:uid="{16970B3B-0C70-4BA5-901F-33FA46D61D1A}">
      <text>
        <r>
          <rPr>
            <b/>
            <sz val="9"/>
            <color indexed="81"/>
            <rFont val="Tahoma"/>
            <family val="2"/>
          </rPr>
          <t>Rob:</t>
        </r>
        <r>
          <rPr>
            <sz val="9"/>
            <color indexed="81"/>
            <rFont val="Tahoma"/>
            <family val="2"/>
          </rPr>
          <t xml:space="preserve">
11/1/2018 GGS sold all 118 shares of VPU @118.77 ($14,014.67)</t>
        </r>
      </text>
    </comment>
    <comment ref="I43" authorId="1" shapeId="0" xr:uid="{1DE9D6C8-C33E-4111-BA5F-F7EB3C71FFBC}">
      <text>
        <r>
          <rPr>
            <b/>
            <sz val="9"/>
            <color indexed="81"/>
            <rFont val="Tahoma"/>
            <family val="2"/>
          </rPr>
          <t>Rob:</t>
        </r>
        <r>
          <rPr>
            <sz val="9"/>
            <color indexed="81"/>
            <rFont val="Tahoma"/>
            <family val="2"/>
          </rPr>
          <t xml:space="preserve">
11/30/2018 Sold all 300 IEFA at 58.95 ($17,684.77)</t>
        </r>
      </text>
    </comment>
    <comment ref="J43" authorId="1" shapeId="0" xr:uid="{03B38892-B3D0-4976-A49E-D1E6D6A22FA8}">
      <text>
        <r>
          <rPr>
            <b/>
            <sz val="9"/>
            <color indexed="81"/>
            <rFont val="Tahoma"/>
            <family val="2"/>
          </rPr>
          <t>Rob:</t>
        </r>
        <r>
          <rPr>
            <sz val="9"/>
            <color indexed="81"/>
            <rFont val="Tahoma"/>
            <family val="2"/>
          </rPr>
          <t xml:space="preserve">
11/30/2018 Sold all 250 IEMG @ 49.51 ($12,377.33)</t>
        </r>
      </text>
    </comment>
    <comment ref="S43" authorId="1" shapeId="0" xr:uid="{655F7999-6EFF-42F5-87AC-FC2C1B434D4B}">
      <text>
        <r>
          <rPr>
            <b/>
            <sz val="9"/>
            <color indexed="81"/>
            <rFont val="Tahoma"/>
            <family val="2"/>
          </rPr>
          <t>Rob:</t>
        </r>
        <r>
          <rPr>
            <sz val="9"/>
            <color indexed="81"/>
            <rFont val="Tahoma"/>
            <family val="2"/>
          </rPr>
          <t xml:space="preserve">
11/30/2018 Bought 550 VEA @ 39.7367 ($21,855.19)</t>
        </r>
      </text>
    </comment>
    <comment ref="FA43" authorId="1" shapeId="0" xr:uid="{575A8A61-D97F-4EA7-B88D-79FEDB5D7879}">
      <text>
        <r>
          <rPr>
            <b/>
            <sz val="9"/>
            <color indexed="81"/>
            <rFont val="Tahoma"/>
            <family val="2"/>
          </rPr>
          <t>Rob:</t>
        </r>
        <r>
          <rPr>
            <sz val="9"/>
            <color indexed="81"/>
            <rFont val="Tahoma"/>
            <family val="2"/>
          </rPr>
          <t xml:space="preserve">
As result of a merger, 110 shares of AET were exchanged for 92 shares of CVS.
Sold 110 shares of AET at 145 ($15,950)
Rcved 92 shares of CVS apparently at 173.37 ($15,750)</t>
        </r>
      </text>
    </comment>
    <comment ref="FJ43" authorId="1" shapeId="0" xr:uid="{2C0471FA-312E-4314-A8A7-B2010F77B6AE}">
      <text>
        <r>
          <rPr>
            <b/>
            <sz val="9"/>
            <color indexed="81"/>
            <rFont val="Tahoma"/>
            <family val="2"/>
          </rPr>
          <t>Rob:</t>
        </r>
        <r>
          <rPr>
            <sz val="9"/>
            <color indexed="81"/>
            <rFont val="Tahoma"/>
            <family val="2"/>
          </rPr>
          <t xml:space="preserve">
As result of a merger, 110 shares of AET were exchanged for 92 shares of CVS.
Sold 110 shares of AET at 145 ($15,950)
Rcved 92 shares of CVS apparently at 173.37 ($15,750)</t>
        </r>
      </text>
    </comment>
    <comment ref="FT43" authorId="1" shapeId="0" xr:uid="{96EB148A-37E9-4AF9-A90A-A1B2F4A595A2}">
      <text>
        <r>
          <rPr>
            <b/>
            <sz val="9"/>
            <color indexed="81"/>
            <rFont val="Tahoma"/>
            <family val="2"/>
          </rPr>
          <t>Rob:</t>
        </r>
        <r>
          <rPr>
            <sz val="9"/>
            <color indexed="81"/>
            <rFont val="Tahoma"/>
            <family val="2"/>
          </rPr>
          <t xml:space="preserve">
11/30/2018 Sold all 300 IEFA at 58.95 ($17,684.77)</t>
        </r>
      </text>
    </comment>
    <comment ref="FU43" authorId="1" shapeId="0" xr:uid="{903B3D82-DA7E-4DF4-8FFE-4987BF7185C1}">
      <text>
        <r>
          <rPr>
            <b/>
            <sz val="9"/>
            <color indexed="81"/>
            <rFont val="Tahoma"/>
            <family val="2"/>
          </rPr>
          <t>Rob:</t>
        </r>
        <r>
          <rPr>
            <sz val="9"/>
            <color indexed="81"/>
            <rFont val="Tahoma"/>
            <family val="2"/>
          </rPr>
          <t xml:space="preserve">
11/30/2018 Sold all 250 IEMG @ 49.51 ($12,377.33)</t>
        </r>
      </text>
    </comment>
    <comment ref="GJ43" authorId="1" shapeId="0" xr:uid="{D80DD616-37C4-44B2-A53E-9DBF7DCD463B}">
      <text>
        <r>
          <rPr>
            <b/>
            <sz val="9"/>
            <color indexed="81"/>
            <rFont val="Tahoma"/>
            <family val="2"/>
          </rPr>
          <t>Rob:</t>
        </r>
        <r>
          <rPr>
            <sz val="9"/>
            <color indexed="81"/>
            <rFont val="Tahoma"/>
            <family val="2"/>
          </rPr>
          <t xml:space="preserve">
11/30/2018 Bought 225 PM @86.667 ($19,500.08)</t>
        </r>
      </text>
    </comment>
    <comment ref="GN43" authorId="1" shapeId="0" xr:uid="{D8C246F4-2779-4DC7-ADF2-25C28C9AADED}">
      <text>
        <r>
          <rPr>
            <b/>
            <sz val="9"/>
            <color indexed="81"/>
            <rFont val="Tahoma"/>
            <family val="2"/>
          </rPr>
          <t>Rob:</t>
        </r>
        <r>
          <rPr>
            <sz val="9"/>
            <color indexed="81"/>
            <rFont val="Tahoma"/>
            <family val="2"/>
          </rPr>
          <t xml:space="preserve">
11/30/2018 Sold all 250 SIEGY @ 57.99 ($14,497.31)</t>
        </r>
      </text>
    </comment>
    <comment ref="GT43" authorId="1" shapeId="0" xr:uid="{924AC0FB-86A3-4BA9-9EA6-92B9E1086C5D}">
      <text>
        <r>
          <rPr>
            <b/>
            <sz val="9"/>
            <color indexed="81"/>
            <rFont val="Tahoma"/>
            <family val="2"/>
          </rPr>
          <t>Rob:</t>
        </r>
        <r>
          <rPr>
            <sz val="9"/>
            <color indexed="81"/>
            <rFont val="Tahoma"/>
            <family val="2"/>
          </rPr>
          <t xml:space="preserve">
11/30/2018 Bought 550 VEA @ 39.7367 ($21,855.19)</t>
        </r>
      </text>
    </comment>
    <comment ref="GW43" authorId="1" shapeId="0" xr:uid="{AA761D1D-18AE-4011-B3CE-85963A76A3E0}">
      <text>
        <r>
          <rPr>
            <b/>
            <sz val="9"/>
            <color indexed="81"/>
            <rFont val="Tahoma"/>
            <family val="2"/>
          </rPr>
          <t>Rob:</t>
        </r>
        <r>
          <rPr>
            <sz val="9"/>
            <color indexed="81"/>
            <rFont val="Tahoma"/>
            <family val="2"/>
          </rPr>
          <t xml:space="preserve">
11/30/2018 Bought 425 VWO @ 39.6963 ($16,870.93)</t>
        </r>
      </text>
    </comment>
    <comment ref="GA45" authorId="1" shapeId="0" xr:uid="{CB266466-EAC5-4362-A408-8E5ED0D489A3}">
      <text>
        <r>
          <rPr>
            <b/>
            <sz val="9"/>
            <color indexed="81"/>
            <rFont val="Tahoma"/>
            <family val="2"/>
          </rPr>
          <t>Rob:</t>
        </r>
        <r>
          <rPr>
            <sz val="9"/>
            <color indexed="81"/>
            <rFont val="Tahoma"/>
            <family val="2"/>
          </rPr>
          <t xml:space="preserve">
1/28/2019 Sold 15 shares MA at 199.6954 ($2995.39) to reduce beta of portfolio
105 shares rem,aining</t>
        </r>
      </text>
    </comment>
    <comment ref="EZ46" authorId="1" shapeId="0" xr:uid="{658084E9-6E7B-4EC9-A5EA-5C15946F253E}">
      <text>
        <r>
          <rPr>
            <b/>
            <sz val="9"/>
            <color indexed="81"/>
            <rFont val="Tahoma"/>
            <family val="2"/>
          </rPr>
          <t>Rob:</t>
        </r>
        <r>
          <rPr>
            <sz val="9"/>
            <color indexed="81"/>
            <rFont val="Tahoma"/>
            <family val="2"/>
          </rPr>
          <t xml:space="preserve">
2/27/2019 Sold all 275 shares of AEE @70.3065 ($19,334.03).  
(Bought this in Jan 2018 at 55.1855 ($15,176.01))
</t>
        </r>
      </text>
    </comment>
    <comment ref="FK46" authorId="1" shapeId="0" xr:uid="{D26A6FCF-C94E-4386-86F4-B47B928386B6}">
      <text>
        <r>
          <rPr>
            <b/>
            <sz val="9"/>
            <color indexed="81"/>
            <rFont val="Tahoma"/>
            <family val="2"/>
          </rPr>
          <t>Rob:</t>
        </r>
        <r>
          <rPr>
            <sz val="9"/>
            <color indexed="81"/>
            <rFont val="Tahoma"/>
            <family val="2"/>
          </rPr>
          <t xml:space="preserve">
2/27/2018 Bought 250 Dominion Energy (D) @ 74.2313 ($18,557.83)</t>
        </r>
      </text>
    </comment>
    <comment ref="FZ46" authorId="1" shapeId="0" xr:uid="{3B263590-6F35-4DD2-8A24-6E05D0E3757C}">
      <text>
        <r>
          <rPr>
            <b/>
            <sz val="9"/>
            <color indexed="81"/>
            <rFont val="Tahoma"/>
            <family val="2"/>
          </rPr>
          <t>Rob:</t>
        </r>
        <r>
          <rPr>
            <sz val="9"/>
            <color indexed="81"/>
            <rFont val="Tahoma"/>
            <family val="2"/>
          </rPr>
          <t xml:space="preserve">
2/28/2019  Sold 35 shares of LOW @105.34 ($3,686.85) 
190 shares remain
</t>
        </r>
      </text>
    </comment>
    <comment ref="FJ47" authorId="1" shapeId="0" xr:uid="{772580C6-BE97-4239-869B-E762810D986F}">
      <text>
        <r>
          <rPr>
            <b/>
            <sz val="9"/>
            <color indexed="81"/>
            <rFont val="Tahoma"/>
            <family val="2"/>
          </rPr>
          <t>Rob:</t>
        </r>
        <r>
          <rPr>
            <sz val="9"/>
            <color indexed="81"/>
            <rFont val="Tahoma"/>
            <family val="2"/>
          </rPr>
          <t xml:space="preserve">
3/4/2019 Sold all 92 shares CVS @55.85 ($5138.13)</t>
        </r>
      </text>
    </comment>
    <comment ref="GB47" authorId="1" shapeId="0" xr:uid="{769AFF1D-A3D4-4FD3-A5AE-DE09C4722E03}">
      <text>
        <r>
          <rPr>
            <b/>
            <sz val="9"/>
            <color indexed="81"/>
            <rFont val="Tahoma"/>
            <family val="2"/>
          </rPr>
          <t>Rob:</t>
        </r>
        <r>
          <rPr>
            <sz val="9"/>
            <color indexed="81"/>
            <rFont val="Tahoma"/>
            <family val="2"/>
          </rPr>
          <t xml:space="preserve">
3/4/2019 Bought 50 shares MCK @ 119.9138 ($5995.69)</t>
        </r>
      </text>
    </comment>
    <comment ref="GM47" authorId="1" shapeId="0" xr:uid="{77A6C51C-1CA1-4F29-9195-0D23D9E6DC41}">
      <text>
        <r>
          <rPr>
            <b/>
            <sz val="9"/>
            <color indexed="81"/>
            <rFont val="Tahoma"/>
            <family val="2"/>
          </rPr>
          <t>Rob:</t>
        </r>
        <r>
          <rPr>
            <sz val="9"/>
            <color indexed="81"/>
            <rFont val="Tahoma"/>
            <family val="2"/>
          </rPr>
          <t xml:space="preserve">
3/29/2019 Sold 60 shares of SBUX @74.225 ($4,453.44)
240 shares left</t>
        </r>
      </text>
    </comment>
    <comment ref="R49" authorId="1" shapeId="0" xr:uid="{6CEAB711-F0BE-4157-BA2D-51B9BD68C9A5}">
      <text>
        <r>
          <rPr>
            <b/>
            <sz val="9"/>
            <color indexed="81"/>
            <rFont val="Tahoma"/>
            <family val="2"/>
          </rPr>
          <t>Rob:</t>
        </r>
        <r>
          <rPr>
            <sz val="9"/>
            <color indexed="81"/>
            <rFont val="Tahoma"/>
            <family val="2"/>
          </rPr>
          <t xml:space="preserve">
4/23/2019 Sold 174.338 Harding Loevner Emerg Mkts (HLEMX) at 57.36 ($10,000)
316.139 left</t>
        </r>
      </text>
    </comment>
    <comment ref="GA49" authorId="1" shapeId="0" xr:uid="{A4D2DE0C-4921-4561-A914-18C50936583A}">
      <text>
        <r>
          <rPr>
            <b/>
            <sz val="9"/>
            <color indexed="81"/>
            <rFont val="Tahoma"/>
            <family val="2"/>
          </rPr>
          <t>Rob:</t>
        </r>
        <r>
          <rPr>
            <sz val="9"/>
            <color indexed="81"/>
            <rFont val="Tahoma"/>
            <family val="2"/>
          </rPr>
          <t xml:space="preserve">
4/30/2019 Sold 15 shares of Mastercard (MA) @253.0903 ($3,796.27)
90 shares remaining</t>
        </r>
      </text>
    </comment>
    <comment ref="FP50" authorId="1" shapeId="0" xr:uid="{56FEFFAA-1594-437A-B783-258C0716662B}">
      <text>
        <r>
          <rPr>
            <b/>
            <sz val="9"/>
            <color indexed="81"/>
            <rFont val="Tahoma"/>
            <family val="2"/>
          </rPr>
          <t>Rob:</t>
        </r>
        <r>
          <rPr>
            <sz val="9"/>
            <color indexed="81"/>
            <rFont val="Tahoma"/>
            <family val="2"/>
          </rPr>
          <t xml:space="preserve">
5/2/2019 Sold all 80 FDX @ 186.3498 ($14,907.67)</t>
        </r>
      </text>
    </comment>
    <comment ref="GO50" authorId="0" shapeId="0" xr:uid="{CE04B7E1-ED9D-4CE9-9F03-8A404E8EC61B}">
      <text>
        <r>
          <rPr>
            <b/>
            <sz val="9"/>
            <color indexed="81"/>
            <rFont val="Tahoma"/>
            <family val="2"/>
          </rPr>
          <t>Rob Squire:</t>
        </r>
        <r>
          <rPr>
            <sz val="9"/>
            <color indexed="81"/>
            <rFont val="Tahoma"/>
            <family val="2"/>
          </rPr>
          <t xml:space="preserve">
GGS wanted to reduce the size of the position and to reduce beta
Details: 5/30/2019 Sold 50 SYY @74.3856 ($3,719.21)
300 shares remain
</t>
        </r>
      </text>
    </comment>
    <comment ref="GS50" authorId="1" shapeId="0" xr:uid="{335ABE9B-1AAF-4DAE-97D4-C10E8F78D425}">
      <text>
        <r>
          <rPr>
            <b/>
            <sz val="9"/>
            <color indexed="81"/>
            <rFont val="Tahoma"/>
            <family val="2"/>
          </rPr>
          <t>Rob:</t>
        </r>
        <r>
          <rPr>
            <sz val="9"/>
            <color indexed="81"/>
            <rFont val="Tahoma"/>
            <family val="2"/>
          </rPr>
          <t xml:space="preserve">
5/2/2019 Bought 140 shares of UPS @105.1916 ($14,726.82)</t>
        </r>
      </text>
    </comment>
    <comment ref="FM51" authorId="0" shapeId="0" xr:uid="{A49F6B90-77E0-4D61-8FF0-C9E9556D7700}">
      <text>
        <r>
          <rPr>
            <b/>
            <sz val="9"/>
            <color indexed="81"/>
            <rFont val="Tahoma"/>
            <family val="2"/>
          </rPr>
          <t>Rob Squire:</t>
        </r>
        <r>
          <rPr>
            <sz val="9"/>
            <color indexed="81"/>
            <rFont val="Tahoma"/>
            <family val="2"/>
          </rPr>
          <t xml:space="preserve">
6/28/2019 Sold 35 DFS @77.394 ($2,708.73) to raise cash for monthly distribution
265 shares remaining</t>
        </r>
      </text>
    </comment>
    <comment ref="HB51" authorId="0" shapeId="0" xr:uid="{4D2FF96B-7234-4A3E-A714-B2927D5C7DDE}">
      <text>
        <r>
          <rPr>
            <b/>
            <sz val="9"/>
            <color indexed="81"/>
            <rFont val="Tahoma"/>
            <family val="2"/>
          </rPr>
          <t>Rob Squire:</t>
        </r>
        <r>
          <rPr>
            <sz val="9"/>
            <color indexed="81"/>
            <rFont val="Tahoma"/>
            <family val="2"/>
          </rPr>
          <t xml:space="preserve">
Advisory fee &amp; 4k</t>
        </r>
      </text>
    </comment>
    <comment ref="ID51" authorId="0" shapeId="0" xr:uid="{44CB57AF-51C1-4CBF-AC1C-589024E59518}">
      <text>
        <r>
          <rPr>
            <b/>
            <sz val="9"/>
            <color indexed="81"/>
            <rFont val="Tahoma"/>
            <family val="2"/>
          </rPr>
          <t>Rob Squire:</t>
        </r>
        <r>
          <rPr>
            <sz val="9"/>
            <color indexed="81"/>
            <rFont val="Tahoma"/>
            <family val="2"/>
          </rPr>
          <t xml:space="preserve">
6/10/2019 Sold 25 DIS @ 137.3603 ($3,433.93) 
150 shares left</t>
        </r>
      </text>
    </comment>
    <comment ref="JF51" authorId="0" shapeId="0" xr:uid="{0CA21598-C184-4008-AF4A-EEE26C4DE978}">
      <text>
        <r>
          <rPr>
            <b/>
            <sz val="9"/>
            <color indexed="81"/>
            <rFont val="Tahoma"/>
            <family val="2"/>
          </rPr>
          <t>Rob Squire:</t>
        </r>
        <r>
          <rPr>
            <sz val="9"/>
            <color indexed="81"/>
            <rFont val="Tahoma"/>
            <family val="2"/>
          </rPr>
          <t xml:space="preserve">
6/10/2019 Bought 165 LYB @ 83.7673 ($13,821.60)</t>
        </r>
      </text>
    </comment>
    <comment ref="JL51" authorId="0" shapeId="0" xr:uid="{A04F0E49-1300-40E5-985A-4FBF0C8E6CC8}">
      <text>
        <r>
          <rPr>
            <b/>
            <sz val="9"/>
            <color indexed="81"/>
            <rFont val="Tahoma"/>
            <family val="2"/>
          </rPr>
          <t>Rob Squire:</t>
        </r>
        <r>
          <rPr>
            <sz val="9"/>
            <color indexed="81"/>
            <rFont val="Tahoma"/>
            <family val="2"/>
          </rPr>
          <t xml:space="preserve">
6/10/2019 Sold 50 MRK @ 82.5574 ($4,127.78) 
250 shares left</t>
        </r>
      </text>
    </comment>
    <comment ref="KE51" authorId="0" shapeId="0" xr:uid="{813C954B-86C4-4EFD-879D-70776E02C0B2}">
      <text>
        <r>
          <rPr>
            <b/>
            <sz val="9"/>
            <color indexed="81"/>
            <rFont val="Tahoma"/>
            <family val="2"/>
          </rPr>
          <t>Rob Squire:</t>
        </r>
        <r>
          <rPr>
            <sz val="9"/>
            <color indexed="81"/>
            <rFont val="Tahoma"/>
            <family val="2"/>
          </rPr>
          <t xml:space="preserve">
6/10/2019 sold 25 VDC (Vanguard Consumer Staples) @150.0740 ($3,751.77) 
132.644 shares left</t>
        </r>
      </text>
    </comment>
    <comment ref="GR52" authorId="0" shapeId="0" xr:uid="{0F343B69-F0BC-47FC-986F-F05ADF54EC64}">
      <text>
        <r>
          <rPr>
            <b/>
            <sz val="9"/>
            <color indexed="81"/>
            <rFont val="Tahoma"/>
            <family val="2"/>
          </rPr>
          <t>Rob Squire:</t>
        </r>
        <r>
          <rPr>
            <sz val="9"/>
            <color indexed="81"/>
            <rFont val="Tahoma"/>
            <family val="2"/>
          </rPr>
          <t xml:space="preserve">
7/31/2019 sold 20 shares of Union Pacific @180.2056 ($3,604.03)
Still have 120 shares</t>
        </r>
      </text>
    </comment>
    <comment ref="KY52" authorId="0" shapeId="0" xr:uid="{ECEC6F21-7DA9-4878-88B5-2EA7619800B7}">
      <text>
        <r>
          <rPr>
            <b/>
            <sz val="9"/>
            <color indexed="81"/>
            <rFont val="Tahoma"/>
            <family val="2"/>
          </rPr>
          <t>Rob Squire:</t>
        </r>
        <r>
          <rPr>
            <sz val="9"/>
            <color indexed="81"/>
            <rFont val="Tahoma"/>
            <family val="2"/>
          </rPr>
          <t xml:space="preserve">
Advisory fee</t>
        </r>
      </text>
    </comment>
    <comment ref="GA53" authorId="0" shapeId="0" xr:uid="{043FDD56-9AA3-49CC-893E-ACECC7779783}">
      <text>
        <r>
          <rPr>
            <b/>
            <sz val="9"/>
            <color indexed="81"/>
            <rFont val="Tahoma"/>
            <family val="2"/>
          </rPr>
          <t>Rob Squire:</t>
        </r>
        <r>
          <rPr>
            <sz val="9"/>
            <color indexed="81"/>
            <rFont val="Tahoma"/>
            <family val="2"/>
          </rPr>
          <t xml:space="preserve">
8/30/2019 Sold 15 shares of Mastercard (MA) @281.0239 ($4,215.27)
75 shares remaining</t>
        </r>
      </text>
    </comment>
    <comment ref="JU53" authorId="0" shapeId="0" xr:uid="{6414358B-ED8D-44EA-AA16-5AA0477B139D}">
      <text>
        <r>
          <rPr>
            <b/>
            <sz val="9"/>
            <color indexed="81"/>
            <rFont val="Tahoma"/>
            <family val="2"/>
          </rPr>
          <t>Rob Squire:</t>
        </r>
        <r>
          <rPr>
            <sz val="9"/>
            <color indexed="81"/>
            <rFont val="Tahoma"/>
            <family val="2"/>
          </rPr>
          <t xml:space="preserve">
8/16/2019   Bought 375 SLB @ 32.5857 ($12,219.64)</t>
        </r>
      </text>
    </comment>
    <comment ref="KF53" authorId="0" shapeId="0" xr:uid="{EDA6459E-A74D-43CB-AC7E-27D17A1C9270}">
      <text>
        <r>
          <rPr>
            <b/>
            <sz val="9"/>
            <color indexed="81"/>
            <rFont val="Tahoma"/>
            <family val="2"/>
          </rPr>
          <t>Rob Squire:</t>
        </r>
        <r>
          <rPr>
            <sz val="9"/>
            <color indexed="81"/>
            <rFont val="Tahoma"/>
            <family val="2"/>
          </rPr>
          <t xml:space="preserve">
Sold 150 VDE @ 75.0066 ($11,250.75).  
0.606 shares remain (really?)</t>
        </r>
      </text>
    </comment>
    <comment ref="U54" authorId="0" shapeId="0" xr:uid="{2B1CF599-80F6-494D-8E1B-59C20332E1B3}">
      <text>
        <r>
          <rPr>
            <b/>
            <sz val="9"/>
            <color indexed="81"/>
            <rFont val="Tahoma"/>
            <family val="2"/>
          </rPr>
          <t>Rob Squire:</t>
        </r>
        <r>
          <rPr>
            <sz val="9"/>
            <color indexed="81"/>
            <rFont val="Tahoma"/>
            <family val="2"/>
          </rPr>
          <t xml:space="preserve">
9/10/2019 Sold all 4,543.191 shares of WTCOX at 11.77 ($53473.36)</t>
        </r>
      </text>
    </comment>
    <comment ref="FI55" authorId="0" shapeId="0" xr:uid="{E5F8AAED-3F0D-4B70-AD7A-99AAED00E464}">
      <text>
        <r>
          <rPr>
            <b/>
            <sz val="9"/>
            <color indexed="81"/>
            <rFont val="Tahoma"/>
            <family val="2"/>
          </rPr>
          <t>Rob Squire:</t>
        </r>
        <r>
          <rPr>
            <sz val="9"/>
            <color indexed="81"/>
            <rFont val="Tahoma"/>
            <family val="2"/>
          </rPr>
          <t xml:space="preserve">
10/8/2019 Sold all 250 CTSH @ 59.4133 ($14,853.02).  This position was originally purchased on 8/8/2017 @70.265 for $17,566.25.  This is a LTCL of $2,713.23</t>
        </r>
      </text>
    </comment>
    <comment ref="FL55" authorId="0" shapeId="0" xr:uid="{14CD152C-3239-4B0F-83B5-E515AE2AC890}">
      <text>
        <r>
          <rPr>
            <b/>
            <sz val="9"/>
            <color indexed="81"/>
            <rFont val="Tahoma"/>
            <family val="2"/>
          </rPr>
          <t>Rob Squire:</t>
        </r>
        <r>
          <rPr>
            <sz val="9"/>
            <color indexed="81"/>
            <rFont val="Tahoma"/>
            <family val="2"/>
          </rPr>
          <t xml:space="preserve">
10/8/2019 Bought 250 DAL @53.705 ($13,426.25)</t>
        </r>
      </text>
    </comment>
    <comment ref="FZ55" authorId="0" shapeId="0" xr:uid="{D9F4A7F7-FE7E-4AC3-AC1B-512C2E75CB93}">
      <text>
        <r>
          <rPr>
            <b/>
            <sz val="9"/>
            <color indexed="81"/>
            <rFont val="Tahoma"/>
            <family val="2"/>
          </rPr>
          <t>Rob Squire:</t>
        </r>
        <r>
          <rPr>
            <sz val="9"/>
            <color indexed="81"/>
            <rFont val="Tahoma"/>
            <family val="2"/>
          </rPr>
          <t xml:space="preserve">
10/31/2019 Sold 35 LOW @ 111.2327 ($3,893.05)
120 shares remaining</t>
        </r>
      </text>
    </comment>
    <comment ref="GR55" authorId="0" shapeId="0" xr:uid="{0E5624A1-C0E2-47CD-9AFF-751B578FEF8B}">
      <text>
        <r>
          <rPr>
            <b/>
            <sz val="9"/>
            <color indexed="81"/>
            <rFont val="Tahoma"/>
            <family val="2"/>
          </rPr>
          <t>Rob Squire:</t>
        </r>
        <r>
          <rPr>
            <sz val="9"/>
            <color indexed="81"/>
            <rFont val="Tahoma"/>
            <family val="2"/>
          </rPr>
          <t xml:space="preserve">
11/27/2019 Sold 25 UNP @ 177.0291 ($4,525.53)
95 shares left</t>
        </r>
      </text>
    </comment>
    <comment ref="HA55" authorId="0" shapeId="0" xr:uid="{C7762CAC-711E-4D3D-BC6B-DDE41BCBABA8}">
      <text>
        <r>
          <rPr>
            <b/>
            <sz val="9"/>
            <color indexed="81"/>
            <rFont val="Tahoma"/>
            <family val="2"/>
          </rPr>
          <t>Rob Squire:</t>
        </r>
        <r>
          <rPr>
            <sz val="9"/>
            <color indexed="81"/>
            <rFont val="Tahoma"/>
            <family val="2"/>
          </rPr>
          <t xml:space="preserve">
10/1/2019 $863.09 advisor fee
11/1/2019 monthly transfer</t>
        </r>
      </text>
    </comment>
    <comment ref="KY55" authorId="0" shapeId="0" xr:uid="{8C7116DD-B263-4B64-8780-AB3093268A63}">
      <text>
        <r>
          <rPr>
            <b/>
            <sz val="9"/>
            <color indexed="81"/>
            <rFont val="Tahoma"/>
            <family val="2"/>
          </rPr>
          <t>Rob Squire:</t>
        </r>
        <r>
          <rPr>
            <sz val="9"/>
            <color indexed="81"/>
            <rFont val="Tahoma"/>
            <family val="2"/>
          </rPr>
          <t xml:space="preserve">
Advisory fee</t>
        </r>
      </text>
    </comment>
    <comment ref="R56" authorId="0" shapeId="0" xr:uid="{4213B5D0-E443-47F6-BF3F-FDD66EF67BDA}">
      <text>
        <r>
          <rPr>
            <b/>
            <sz val="9"/>
            <color indexed="81"/>
            <rFont val="Tahoma"/>
            <family val="2"/>
          </rPr>
          <t>Rob Squire:</t>
        </r>
        <r>
          <rPr>
            <sz val="9"/>
            <color indexed="81"/>
            <rFont val="Tahoma"/>
            <family val="2"/>
          </rPr>
          <t xml:space="preserve">
12/17/2019  I ordered the sale of all 316.139 shares.  The order number is L17NDCDV
                     Sold all 316.139 shares HLEMX @58.59 ($18,522.58)
</t>
        </r>
      </text>
    </comment>
    <comment ref="EY56" authorId="0" shapeId="0" xr:uid="{DEBD14A8-051E-4B05-9BDD-639717BBE529}">
      <text>
        <r>
          <rPr>
            <b/>
            <sz val="9"/>
            <color indexed="81"/>
            <rFont val="Tahoma"/>
            <family val="2"/>
          </rPr>
          <t>Rob Squire:</t>
        </r>
        <r>
          <rPr>
            <sz val="9"/>
            <color indexed="81"/>
            <rFont val="Tahoma"/>
            <family val="2"/>
          </rPr>
          <t xml:space="preserve">
12/31/2019 Sold 20 AAPL @292.9574 ($5,859.02)
65 shares remaining</t>
        </r>
      </text>
    </comment>
    <comment ref="ID56" authorId="0" shapeId="0" xr:uid="{EE4D3463-E70C-4CFC-8FB4-85AF98F7A602}">
      <text>
        <r>
          <rPr>
            <b/>
            <sz val="9"/>
            <color indexed="81"/>
            <rFont val="Tahoma"/>
            <family val="2"/>
          </rPr>
          <t>Rob Squire:</t>
        </r>
        <r>
          <rPr>
            <sz val="9"/>
            <color indexed="81"/>
            <rFont val="Tahoma"/>
            <family val="2"/>
          </rPr>
          <t xml:space="preserve">
12/2/2019  Sold all 150 shares DIS @ 150.5685 ($22,584.81)</t>
        </r>
      </text>
    </comment>
    <comment ref="IF56" authorId="0" shapeId="0" xr:uid="{424782B3-11E1-4A0E-A34B-9BC7B20A7969}">
      <text>
        <r>
          <rPr>
            <b/>
            <sz val="9"/>
            <color indexed="81"/>
            <rFont val="Tahoma"/>
            <family val="2"/>
          </rPr>
          <t>Rob Squire:</t>
        </r>
        <r>
          <rPr>
            <sz val="9"/>
            <color indexed="81"/>
            <rFont val="Tahoma"/>
            <family val="2"/>
          </rPr>
          <t xml:space="preserve">
12/2/2019 Bought 550 shares EBAY @35.0175 ($19,259.63)</t>
        </r>
      </text>
    </comment>
    <comment ref="G57" authorId="0" shapeId="0" xr:uid="{DAC2A2B1-D4CC-40BC-B4E8-BB36D480A09C}">
      <text>
        <r>
          <rPr>
            <b/>
            <sz val="9"/>
            <color indexed="81"/>
            <rFont val="Tahoma"/>
            <family val="2"/>
          </rPr>
          <t>Rob Squire:</t>
        </r>
        <r>
          <rPr>
            <sz val="9"/>
            <color indexed="81"/>
            <rFont val="Tahoma"/>
            <family val="2"/>
          </rPr>
          <t xml:space="preserve">
1/14/2020 Bought 5,059.253 shares @ 10.97 ($55,500)
</t>
        </r>
      </text>
    </comment>
    <comment ref="AU57" authorId="0" shapeId="0" xr:uid="{375A0804-91E2-4E05-B58C-99A00575AFEA}">
      <text>
        <r>
          <rPr>
            <b/>
            <sz val="9"/>
            <color indexed="81"/>
            <rFont val="Tahoma"/>
            <family val="2"/>
          </rPr>
          <t>Rob Squire:</t>
        </r>
        <r>
          <rPr>
            <sz val="9"/>
            <color indexed="81"/>
            <rFont val="Tahoma"/>
            <family val="2"/>
          </rPr>
          <t xml:space="preserve">
1/16/2020 Bought 4,851.275 shares @14.12 ($65,575 including a $75 transaction fee)</t>
        </r>
      </text>
    </comment>
    <comment ref="AZ57" authorId="0" shapeId="0" xr:uid="{24118FFC-7B7A-4EAC-A37C-F6B965085086}">
      <text>
        <r>
          <rPr>
            <b/>
            <sz val="9"/>
            <color indexed="81"/>
            <rFont val="Tahoma"/>
            <family val="2"/>
          </rPr>
          <t>Rob Squire:</t>
        </r>
        <r>
          <rPr>
            <sz val="9"/>
            <color indexed="81"/>
            <rFont val="Tahoma"/>
            <family val="2"/>
          </rPr>
          <t xml:space="preserve">
1/14/2020 Bought 1,185.05 shares @ 10.97 ($13,000)</t>
        </r>
      </text>
    </comment>
    <comment ref="GR57" authorId="0" shapeId="0" xr:uid="{F2162971-150E-489C-9681-D6ECCE6BDF65}">
      <text>
        <r>
          <rPr>
            <b/>
            <sz val="9"/>
            <color indexed="81"/>
            <rFont val="Tahoma"/>
            <family val="2"/>
          </rPr>
          <t>Rob Squire:</t>
        </r>
        <r>
          <rPr>
            <sz val="9"/>
            <color indexed="81"/>
            <rFont val="Tahoma"/>
            <family val="2"/>
          </rPr>
          <t xml:space="preserve">
1/30/2020 Sold 25 UNP @ 182.4958 ($4,562.30).  
They needed to free up cash.  They chose UNP to reduce the position size
70 shares remaining</t>
        </r>
      </text>
    </comment>
    <comment ref="HB57" authorId="0" shapeId="0" xr:uid="{E2149D53-08E4-4667-86B7-F6FD0DCB5928}">
      <text>
        <r>
          <rPr>
            <b/>
            <sz val="9"/>
            <color indexed="81"/>
            <rFont val="Tahoma"/>
            <family val="2"/>
          </rPr>
          <t>Rob Squire:</t>
        </r>
        <r>
          <rPr>
            <sz val="9"/>
            <color indexed="81"/>
            <rFont val="Tahoma"/>
            <family val="2"/>
          </rPr>
          <t xml:space="preserve">
Mgt fee</t>
        </r>
      </text>
    </comment>
    <comment ref="IT57" authorId="0" shapeId="0" xr:uid="{637260EA-2EDB-4B71-AEF1-FF487A32ADD8}">
      <text>
        <r>
          <rPr>
            <b/>
            <sz val="9"/>
            <color indexed="81"/>
            <rFont val="Tahoma"/>
            <family val="2"/>
          </rPr>
          <t>Rob Squire:</t>
        </r>
        <r>
          <rPr>
            <sz val="9"/>
            <color indexed="81"/>
            <rFont val="Tahoma"/>
            <family val="2"/>
          </rPr>
          <t xml:space="preserve">
1/19/2020 – Sold 100 INTC @ 65.7934 ($6,579.2)
400 shares left</t>
        </r>
      </text>
    </comment>
    <comment ref="JF57" authorId="0" shapeId="0" xr:uid="{5603F378-72F7-4C6B-80DE-E0591528EDF5}">
      <text>
        <r>
          <rPr>
            <b/>
            <sz val="9"/>
            <color indexed="81"/>
            <rFont val="Tahoma"/>
            <family val="2"/>
          </rPr>
          <t>Rob Squire:</t>
        </r>
        <r>
          <rPr>
            <sz val="9"/>
            <color indexed="81"/>
            <rFont val="Tahoma"/>
            <family val="2"/>
          </rPr>
          <t xml:space="preserve">
1/19/2020 - Bought 100 LYB @ 82.0266 ($8,202.66)
Now have 265 shares</t>
        </r>
      </text>
    </comment>
    <comment ref="KY57" authorId="0" shapeId="0" xr:uid="{D60199EC-EB3D-4ADC-928E-6009AF3B44AA}">
      <text>
        <r>
          <rPr>
            <b/>
            <sz val="9"/>
            <color indexed="81"/>
            <rFont val="Tahoma"/>
            <family val="2"/>
          </rPr>
          <t>Rob Squire:</t>
        </r>
        <r>
          <rPr>
            <sz val="9"/>
            <color indexed="81"/>
            <rFont val="Tahoma"/>
            <family val="2"/>
          </rPr>
          <t xml:space="preserve">
Mgt fee</t>
        </r>
      </text>
    </comment>
    <comment ref="NW57" authorId="0" shapeId="0" xr:uid="{1DE765AC-093D-45B0-9D23-3DDF7B15E9D8}">
      <text>
        <r>
          <rPr>
            <b/>
            <sz val="9"/>
            <color indexed="81"/>
            <rFont val="Tahoma"/>
            <family val="2"/>
          </rPr>
          <t>Rob Squire:</t>
        </r>
        <r>
          <rPr>
            <sz val="9"/>
            <color indexed="81"/>
            <rFont val="Tahoma"/>
            <family val="2"/>
          </rPr>
          <t xml:space="preserve">
1/14/2020 Bought 2,497.738 shares @ 11.05 ($27,600)</t>
        </r>
      </text>
    </comment>
    <comment ref="OC57" authorId="0" shapeId="0" xr:uid="{BD35A9FC-258E-4955-A64D-3A908316835B}">
      <text>
        <r>
          <rPr>
            <b/>
            <sz val="9"/>
            <color indexed="81"/>
            <rFont val="Tahoma"/>
            <family val="2"/>
          </rPr>
          <t>Rob Squire:</t>
        </r>
        <r>
          <rPr>
            <sz val="9"/>
            <color indexed="81"/>
            <rFont val="Tahoma"/>
            <family val="2"/>
          </rPr>
          <t xml:space="preserve">
1/10/2020 Sold all 1,110.151 shares @ 24.93 ($27,676.06)</t>
        </r>
      </text>
    </comment>
    <comment ref="FS58" authorId="0" shapeId="0" xr:uid="{E5FDBDFF-D71B-4F9E-AEA2-FB71BF5D940A}">
      <text>
        <r>
          <rPr>
            <b/>
            <sz val="9"/>
            <color indexed="81"/>
            <rFont val="Tahoma"/>
            <family val="2"/>
          </rPr>
          <t>Rob Squire:</t>
        </r>
        <r>
          <rPr>
            <sz val="9"/>
            <color indexed="81"/>
            <rFont val="Tahoma"/>
            <family val="2"/>
          </rPr>
          <t xml:space="preserve">
2/11/2020  GGS sold 2 GOOG @1477.3089 ($2,954.55)
15 left</t>
        </r>
      </text>
    </comment>
    <comment ref="GA58" authorId="0" shapeId="0" xr:uid="{9479D130-64F9-4D94-880D-C6971475168B}">
      <text>
        <r>
          <rPr>
            <b/>
            <sz val="9"/>
            <color indexed="81"/>
            <rFont val="Tahoma"/>
            <family val="2"/>
          </rPr>
          <t>Rob Squire:</t>
        </r>
        <r>
          <rPr>
            <sz val="9"/>
            <color indexed="81"/>
            <rFont val="Tahoma"/>
            <family val="2"/>
          </rPr>
          <t xml:space="preserve">
2/11/2020  GGS sold 10 MA @327.0647 ($3,270.58)
65 remaining</t>
        </r>
      </text>
    </comment>
    <comment ref="GX58" authorId="0" shapeId="0" xr:uid="{4E2D3650-39FB-4A4A-9510-FCA83D2B61A1}">
      <text>
        <r>
          <rPr>
            <b/>
            <sz val="9"/>
            <color indexed="81"/>
            <rFont val="Tahoma"/>
            <family val="2"/>
          </rPr>
          <t>Rob Squire:</t>
        </r>
        <r>
          <rPr>
            <sz val="9"/>
            <color indexed="81"/>
            <rFont val="Tahoma"/>
            <family val="2"/>
          </rPr>
          <t xml:space="preserve">
2/27/2020 GGS sold 75 VZ @55.62 ($4,171.40)
325 shares left</t>
        </r>
      </text>
    </comment>
    <comment ref="IH58" authorId="0" shapeId="0" xr:uid="{1F21848E-D6B2-4742-A101-522FEDDD0DC1}">
      <text>
        <r>
          <rPr>
            <b/>
            <sz val="9"/>
            <color indexed="81"/>
            <rFont val="Tahoma"/>
            <family val="2"/>
          </rPr>
          <t>Rob Squire:</t>
        </r>
        <r>
          <rPr>
            <sz val="9"/>
            <color indexed="81"/>
            <rFont val="Tahoma"/>
            <family val="2"/>
          </rPr>
          <t xml:space="preserve">
2/11/2020 GGS invested the $7k that was transferred in (along with some other cash in the account) in 50 Facebook Class A @207.8497 ($10,392.49)</t>
        </r>
      </text>
    </comment>
    <comment ref="FB59" authorId="0" shapeId="0" xr:uid="{699ABEF4-20E6-49BA-9090-A30BBE46E6D6}">
      <text>
        <r>
          <rPr>
            <b/>
            <sz val="9"/>
            <color indexed="81"/>
            <rFont val="Tahoma"/>
            <family val="2"/>
          </rPr>
          <t>Rob Squire:</t>
        </r>
        <r>
          <rPr>
            <sz val="9"/>
            <color indexed="81"/>
            <rFont val="Tahoma"/>
            <family val="2"/>
          </rPr>
          <t xml:space="preserve">
GGS replaced Delta with Alaska Air. This was due to valuation going forward. ALK is currently screening more favorably. They are also putting some additional cash to work now that I suspended the monthly distribution.
3/2/2020 Bought 275 Alaska Air ALK @ 49.0731 ($13.495.10)</t>
        </r>
      </text>
    </comment>
    <comment ref="FL59" authorId="0" shapeId="0" xr:uid="{EEF34B5E-DF69-48AF-8105-8A4A95FA0657}">
      <text>
        <r>
          <rPr>
            <b/>
            <sz val="9"/>
            <color indexed="81"/>
            <rFont val="Tahoma"/>
            <family val="2"/>
          </rPr>
          <t>Rob Squire:</t>
        </r>
        <r>
          <rPr>
            <sz val="9"/>
            <color indexed="81"/>
            <rFont val="Tahoma"/>
            <family val="2"/>
          </rPr>
          <t xml:space="preserve">
GGS replaced Delta with Alaska Air. This was due to valuation going forward. ALK is currently screening more favorably. They are also putting some additional cash to work now that I suspended the monthly distribution.
3/2/2020 Sold all 250 Delta @ 45.9054 ($11,476.09)</t>
        </r>
      </text>
    </comment>
    <comment ref="S60" authorId="0" shapeId="0" xr:uid="{5AC43356-4825-47C3-BC01-5D7EEE660910}">
      <text>
        <r>
          <rPr>
            <b/>
            <sz val="9"/>
            <color indexed="81"/>
            <rFont val="Tahoma"/>
            <family val="2"/>
          </rPr>
          <t>Rob Squire:</t>
        </r>
        <r>
          <rPr>
            <sz val="9"/>
            <color indexed="81"/>
            <rFont val="Tahoma"/>
            <family val="2"/>
          </rPr>
          <t xml:space="preserve">
3/13/20 Sold all 550 VEA @ 32 (17,599.69)</t>
        </r>
      </text>
    </comment>
    <comment ref="BM60" authorId="0" shapeId="0" xr:uid="{4DDE5AAA-093A-4F39-A940-AFEC3770898C}">
      <text>
        <r>
          <rPr>
            <b/>
            <sz val="9"/>
            <color indexed="81"/>
            <rFont val="Tahoma"/>
            <family val="2"/>
          </rPr>
          <t>Rob Squire:</t>
        </r>
        <r>
          <rPr>
            <sz val="9"/>
            <color indexed="81"/>
            <rFont val="Tahoma"/>
            <family val="2"/>
          </rPr>
          <t xml:space="preserve">
3/13/20 Sold all 100 IJH @ 145.42 ($14,541.67)</t>
        </r>
      </text>
    </comment>
    <comment ref="BN60" authorId="0" shapeId="0" xr:uid="{49CA7CDE-9966-4AFE-9C6A-094858C97BC3}">
      <text>
        <r>
          <rPr>
            <b/>
            <sz val="9"/>
            <color indexed="81"/>
            <rFont val="Tahoma"/>
            <family val="2"/>
          </rPr>
          <t>Rob Squire:</t>
        </r>
        <r>
          <rPr>
            <sz val="9"/>
            <color indexed="81"/>
            <rFont val="Tahoma"/>
            <family val="2"/>
          </rPr>
          <t xml:space="preserve">
3/13/20 Sold all 250 IJR @ 57.71 ($14,427.18)</t>
        </r>
      </text>
    </comment>
    <comment ref="CQ60" authorId="0" shapeId="0" xr:uid="{E9940FDA-EE77-4FD8-A1F4-4DD66A19FE19}">
      <text>
        <r>
          <rPr>
            <b/>
            <sz val="9"/>
            <color indexed="81"/>
            <rFont val="Tahoma"/>
            <family val="2"/>
          </rPr>
          <t>Rob Squire:</t>
        </r>
        <r>
          <rPr>
            <sz val="9"/>
            <color indexed="81"/>
            <rFont val="Tahoma"/>
            <family val="2"/>
          </rPr>
          <t xml:space="preserve">
3/13/20 Sold all 200 VNQ @ 75.9 ($15,179.66)</t>
        </r>
      </text>
    </comment>
    <comment ref="CU60" authorId="0" shapeId="0" xr:uid="{4291880E-3985-4BFE-A9DD-23F7B70AD983}">
      <text>
        <r>
          <rPr>
            <b/>
            <sz val="9"/>
            <color indexed="81"/>
            <rFont val="Tahoma"/>
            <family val="2"/>
          </rPr>
          <t>Rob Squire:</t>
        </r>
        <r>
          <rPr>
            <sz val="9"/>
            <color indexed="81"/>
            <rFont val="Tahoma"/>
            <family val="2"/>
          </rPr>
          <t xml:space="preserve">
3/13/20 Sold all 15 WFCPRL @ 1426.25 ($21,393,27)</t>
        </r>
      </text>
    </comment>
    <comment ref="ES60" authorId="0" shapeId="0" xr:uid="{B55891CF-4996-4160-9381-38520DDC2C0B}">
      <text>
        <r>
          <rPr>
            <b/>
            <sz val="9"/>
            <color indexed="81"/>
            <rFont val="Tahoma"/>
            <family val="2"/>
          </rPr>
          <t>Rob Squire:</t>
        </r>
        <r>
          <rPr>
            <sz val="9"/>
            <color indexed="81"/>
            <rFont val="Tahoma"/>
            <family val="2"/>
          </rPr>
          <t xml:space="preserve">
S&amp;P500 was at approx 2,450 when we sold everything</t>
        </r>
      </text>
    </comment>
    <comment ref="EY60" authorId="0" shapeId="0" xr:uid="{96D7FF80-8FC7-4F3D-8292-5F10B28C3440}">
      <text>
        <r>
          <rPr>
            <b/>
            <sz val="9"/>
            <color indexed="81"/>
            <rFont val="Tahoma"/>
            <family val="2"/>
          </rPr>
          <t>Rob Squire:</t>
        </r>
        <r>
          <rPr>
            <sz val="9"/>
            <color indexed="81"/>
            <rFont val="Tahoma"/>
            <family val="2"/>
          </rPr>
          <t xml:space="preserve">
Sold all 65 AAPL @ 255.0119 ($16,575.40</t>
        </r>
      </text>
    </comment>
    <comment ref="FB60" authorId="0" shapeId="0" xr:uid="{6620FBB1-8342-4FCE-9D8B-66F5C68B0F2D}">
      <text>
        <r>
          <rPr>
            <b/>
            <sz val="9"/>
            <color indexed="81"/>
            <rFont val="Tahoma"/>
            <family val="2"/>
          </rPr>
          <t>Rob Squire:</t>
        </r>
        <r>
          <rPr>
            <sz val="9"/>
            <color indexed="81"/>
            <rFont val="Tahoma"/>
            <family val="2"/>
          </rPr>
          <t xml:space="preserve">
Sold all 275 ALK at 41.25 ($11,343.49)</t>
        </r>
      </text>
    </comment>
    <comment ref="FH60" authorId="0" shapeId="0" xr:uid="{3E9C145F-3C05-41EB-9D89-6A4CC4ABF470}">
      <text>
        <r>
          <rPr>
            <b/>
            <sz val="9"/>
            <color indexed="81"/>
            <rFont val="Tahoma"/>
            <family val="2"/>
          </rPr>
          <t>Rob Squire:</t>
        </r>
        <r>
          <rPr>
            <sz val="9"/>
            <color indexed="81"/>
            <rFont val="Tahoma"/>
            <family val="2"/>
          </rPr>
          <t xml:space="preserve">
Sold all 400 CSCO @ 34.43 ($13,771.69)</t>
        </r>
      </text>
    </comment>
    <comment ref="FK60" authorId="0" shapeId="0" xr:uid="{87DB46D1-280F-44FC-9B1B-4E3C339320EF}">
      <text>
        <r>
          <rPr>
            <b/>
            <sz val="9"/>
            <color indexed="81"/>
            <rFont val="Tahoma"/>
            <family val="2"/>
          </rPr>
          <t>Rob Squire:</t>
        </r>
        <r>
          <rPr>
            <sz val="9"/>
            <color indexed="81"/>
            <rFont val="Tahoma"/>
            <family val="2"/>
          </rPr>
          <t xml:space="preserve">
Sold all 250 D @ 72 ($17,999.60)</t>
        </r>
      </text>
    </comment>
    <comment ref="FM60" authorId="0" shapeId="0" xr:uid="{DE86E5EB-70E3-493A-9134-5E786949C189}">
      <text>
        <r>
          <rPr>
            <b/>
            <sz val="9"/>
            <color indexed="81"/>
            <rFont val="Tahoma"/>
            <family val="2"/>
          </rPr>
          <t>Rob Squire:</t>
        </r>
        <r>
          <rPr>
            <sz val="9"/>
            <color indexed="81"/>
            <rFont val="Tahoma"/>
            <family val="2"/>
          </rPr>
          <t xml:space="preserve">
Sold all 265 DFS @ 45.32 ($12,009.53)</t>
        </r>
      </text>
    </comment>
    <comment ref="FS60" authorId="0" shapeId="0" xr:uid="{884ACA58-C946-49B1-B38F-BADBD17C005F}">
      <text>
        <r>
          <rPr>
            <b/>
            <sz val="9"/>
            <color indexed="81"/>
            <rFont val="Tahoma"/>
            <family val="2"/>
          </rPr>
          <t>Rob Squire:</t>
        </r>
        <r>
          <rPr>
            <sz val="9"/>
            <color indexed="81"/>
            <rFont val="Tahoma"/>
            <family val="2"/>
          </rPr>
          <t xml:space="preserve">
Sold all 15 GOOG @1129.4453 ($16,941.68)</t>
        </r>
      </text>
    </comment>
    <comment ref="FZ60" authorId="0" shapeId="0" xr:uid="{610114AB-A101-49E6-B8A4-400C904C9E76}">
      <text>
        <r>
          <rPr>
            <b/>
            <sz val="9"/>
            <color indexed="81"/>
            <rFont val="Tahoma"/>
            <family val="2"/>
          </rPr>
          <t>Rob Squire:</t>
        </r>
        <r>
          <rPr>
            <sz val="9"/>
            <color indexed="81"/>
            <rFont val="Tahoma"/>
            <family val="2"/>
          </rPr>
          <t xml:space="preserve">
Sold all 120 LOW @ 92.29 ($11,074.55)</t>
        </r>
      </text>
    </comment>
    <comment ref="GA60" authorId="0" shapeId="0" xr:uid="{E4ADA34F-577B-47BF-AD61-239999B26BEC}">
      <text>
        <r>
          <rPr>
            <b/>
            <sz val="9"/>
            <color indexed="81"/>
            <rFont val="Tahoma"/>
            <family val="2"/>
          </rPr>
          <t>Rob Squire:</t>
        </r>
        <r>
          <rPr>
            <sz val="9"/>
            <color indexed="81"/>
            <rFont val="Tahoma"/>
            <family val="2"/>
          </rPr>
          <t xml:space="preserve">
Sold all 65 MA @ 248.6355 ($16,160.95)</t>
        </r>
      </text>
    </comment>
    <comment ref="GB60" authorId="0" shapeId="0" xr:uid="{084A0CB2-3C75-4B71-BC5B-F75D26D844BD}">
      <text>
        <r>
          <rPr>
            <b/>
            <sz val="9"/>
            <color indexed="81"/>
            <rFont val="Tahoma"/>
            <family val="2"/>
          </rPr>
          <t>Rob Squire:</t>
        </r>
        <r>
          <rPr>
            <sz val="9"/>
            <color indexed="81"/>
            <rFont val="Tahoma"/>
            <family val="2"/>
          </rPr>
          <t xml:space="preserve">
3/13/20 Sold all 50 MCK @ 125 ($6,249.86)</t>
        </r>
      </text>
    </comment>
    <comment ref="GF60" authorId="0" shapeId="0" xr:uid="{804DBD14-7CA8-44F0-ACBC-DE104D4973AA}">
      <text>
        <r>
          <rPr>
            <b/>
            <sz val="9"/>
            <color indexed="81"/>
            <rFont val="Tahoma"/>
            <family val="2"/>
          </rPr>
          <t>Rob Squire:</t>
        </r>
        <r>
          <rPr>
            <sz val="9"/>
            <color indexed="81"/>
            <rFont val="Tahoma"/>
            <family val="2"/>
          </rPr>
          <t xml:space="preserve">
3/13/20 Sold all 350 ORCL @ 41.7293 ($14,604.93)</t>
        </r>
      </text>
    </comment>
    <comment ref="GJ60" authorId="0" shapeId="0" xr:uid="{EF3FE38C-126B-4E52-9273-DD471F0C6399}">
      <text>
        <r>
          <rPr>
            <b/>
            <sz val="9"/>
            <color indexed="81"/>
            <rFont val="Tahoma"/>
            <family val="2"/>
          </rPr>
          <t>Rob Squire:</t>
        </r>
        <r>
          <rPr>
            <sz val="9"/>
            <color indexed="81"/>
            <rFont val="Tahoma"/>
            <family val="2"/>
          </rPr>
          <t xml:space="preserve">
3/13/20 Sold all 225 PM @ 73.43 ($16,521.38)</t>
        </r>
      </text>
    </comment>
    <comment ref="GM60" authorId="0" shapeId="0" xr:uid="{58FA711F-3857-456F-81C7-50339223E248}">
      <text>
        <r>
          <rPr>
            <b/>
            <sz val="9"/>
            <color indexed="81"/>
            <rFont val="Tahoma"/>
            <family val="2"/>
          </rPr>
          <t>Rob Squire:</t>
        </r>
        <r>
          <rPr>
            <sz val="9"/>
            <color indexed="81"/>
            <rFont val="Tahoma"/>
            <family val="2"/>
          </rPr>
          <t xml:space="preserve">
3/13/20 Sold all 240 SBUX @ 64.25 ($15,419.65)</t>
        </r>
      </text>
    </comment>
    <comment ref="GO60" authorId="0" shapeId="0" xr:uid="{A9DFA29A-F7CC-4F81-ACD2-D8A0B4938695}">
      <text>
        <r>
          <rPr>
            <b/>
            <sz val="9"/>
            <color indexed="81"/>
            <rFont val="Tahoma"/>
            <family val="2"/>
          </rPr>
          <t>Rob Squire:</t>
        </r>
        <r>
          <rPr>
            <sz val="9"/>
            <color indexed="81"/>
            <rFont val="Tahoma"/>
            <family val="2"/>
          </rPr>
          <t xml:space="preserve">
3/13/20 Sold all 300 SYY @ 46 ($13,799.69)</t>
        </r>
      </text>
    </comment>
    <comment ref="GR60" authorId="0" shapeId="0" xr:uid="{2653AE38-3435-4453-AAFD-69536A1B68E5}">
      <text>
        <r>
          <rPr>
            <b/>
            <sz val="9"/>
            <color indexed="81"/>
            <rFont val="Tahoma"/>
            <family val="2"/>
          </rPr>
          <t>Rob Squire:</t>
        </r>
        <r>
          <rPr>
            <sz val="9"/>
            <color indexed="81"/>
            <rFont val="Tahoma"/>
            <family val="2"/>
          </rPr>
          <t xml:space="preserve">
3/13/20 Sold all 70 UNP @ 125.05 ($8,753.30)</t>
        </r>
      </text>
    </comment>
    <comment ref="GS60" authorId="0" shapeId="0" xr:uid="{1542C6AB-0786-45CD-B5CF-A19EB0CD7F0F}">
      <text>
        <r>
          <rPr>
            <b/>
            <sz val="9"/>
            <color indexed="81"/>
            <rFont val="Tahoma"/>
            <family val="2"/>
          </rPr>
          <t>Rob Squire:</t>
        </r>
        <r>
          <rPr>
            <sz val="9"/>
            <color indexed="81"/>
            <rFont val="Tahoma"/>
            <family val="2"/>
          </rPr>
          <t xml:space="preserve">
3/13/20 Sold all 140 UPS @ 82.19 ($11,506.34)</t>
        </r>
      </text>
    </comment>
    <comment ref="GT60" authorId="0" shapeId="0" xr:uid="{34AA8293-AE18-415A-86B1-8D11117D70AC}">
      <text>
        <r>
          <rPr>
            <b/>
            <sz val="9"/>
            <color indexed="81"/>
            <rFont val="Tahoma"/>
            <family val="2"/>
          </rPr>
          <t>Rob Squire:</t>
        </r>
        <r>
          <rPr>
            <sz val="9"/>
            <color indexed="81"/>
            <rFont val="Tahoma"/>
            <family val="2"/>
          </rPr>
          <t xml:space="preserve">
3/13/20 Sold all 550 VEA @ 32 (17,599.69)</t>
        </r>
      </text>
    </comment>
    <comment ref="GW60" authorId="0" shapeId="0" xr:uid="{A966441C-7FFC-4BE1-8BF7-7D66917FF7D9}">
      <text>
        <r>
          <rPr>
            <b/>
            <sz val="9"/>
            <color indexed="81"/>
            <rFont val="Tahoma"/>
            <family val="2"/>
          </rPr>
          <t>Rob Squire:</t>
        </r>
        <r>
          <rPr>
            <sz val="9"/>
            <color indexed="81"/>
            <rFont val="Tahoma"/>
            <family val="2"/>
          </rPr>
          <t xml:space="preserve">
3/13/20 Sold all 425 VWO @ 33.74 ($14,339.18)</t>
        </r>
      </text>
    </comment>
    <comment ref="GX60" authorId="0" shapeId="0" xr:uid="{64C84585-F5E3-4D51-9167-ABB37D56AABB}">
      <text>
        <r>
          <rPr>
            <b/>
            <sz val="9"/>
            <color indexed="81"/>
            <rFont val="Tahoma"/>
            <family val="2"/>
          </rPr>
          <t>Rob Squire:</t>
        </r>
        <r>
          <rPr>
            <sz val="9"/>
            <color indexed="81"/>
            <rFont val="Tahoma"/>
            <family val="2"/>
          </rPr>
          <t xml:space="preserve">
3/13/20 Sold all 325 VZ @ 51.5 ($16,737.13)</t>
        </r>
      </text>
    </comment>
    <comment ref="HF60" authorId="0" shapeId="0" xr:uid="{37E6CB77-DEAE-4BE9-B785-EBB38AF5E599}">
      <text>
        <r>
          <rPr>
            <b/>
            <sz val="9"/>
            <color indexed="81"/>
            <rFont val="Tahoma"/>
            <family val="2"/>
          </rPr>
          <t>Rob Squire:</t>
        </r>
        <r>
          <rPr>
            <sz val="9"/>
            <color indexed="81"/>
            <rFont val="Tahoma"/>
            <family val="2"/>
          </rPr>
          <t xml:space="preserve">
S&amp;P500 was at approx 2,450 when we sold everything</t>
        </r>
      </text>
    </comment>
    <comment ref="HP60" authorId="0" shapeId="0" xr:uid="{5D297089-69A9-4030-A29F-52D4673FF5C2}">
      <text>
        <r>
          <rPr>
            <b/>
            <sz val="9"/>
            <color indexed="81"/>
            <rFont val="Tahoma"/>
            <family val="2"/>
          </rPr>
          <t>Rob Squire:</t>
        </r>
        <r>
          <rPr>
            <sz val="9"/>
            <color indexed="81"/>
            <rFont val="Tahoma"/>
            <family val="2"/>
          </rPr>
          <t xml:space="preserve">
3/13/20 Sold all 400 BCE @ 39.57 ($15,827.65)</t>
        </r>
      </text>
    </comment>
    <comment ref="HT60" authorId="0" shapeId="0" xr:uid="{FEF982B5-81B8-4AEB-8B08-E94BAF0F71E3}">
      <text>
        <r>
          <rPr>
            <b/>
            <sz val="9"/>
            <color indexed="81"/>
            <rFont val="Tahoma"/>
            <family val="2"/>
          </rPr>
          <t>Rob Squire:</t>
        </r>
        <r>
          <rPr>
            <sz val="9"/>
            <color indexed="81"/>
            <rFont val="Tahoma"/>
            <family val="2"/>
          </rPr>
          <t xml:space="preserve">
3/13/20 Sold all 250 CERN @ 65.01 ($16,252.14)</t>
        </r>
      </text>
    </comment>
    <comment ref="IC60" authorId="0" shapeId="0" xr:uid="{FC700EE5-C1EA-411B-A93A-6D0E9516C441}">
      <text>
        <r>
          <rPr>
            <b/>
            <sz val="9"/>
            <color indexed="81"/>
            <rFont val="Tahoma"/>
            <family val="2"/>
          </rPr>
          <t>Rob Squire:</t>
        </r>
        <r>
          <rPr>
            <sz val="9"/>
            <color indexed="81"/>
            <rFont val="Tahoma"/>
            <family val="2"/>
          </rPr>
          <t xml:space="preserve">
3/13/20 Sold all 175 DGX @93.65 ($16,388.38)</t>
        </r>
      </text>
    </comment>
    <comment ref="IF60" authorId="0" shapeId="0" xr:uid="{97C0A29F-0DC7-4B80-A444-7D35F8180906}">
      <text>
        <r>
          <rPr>
            <b/>
            <sz val="9"/>
            <color indexed="81"/>
            <rFont val="Tahoma"/>
            <family val="2"/>
          </rPr>
          <t>Rob Squire:</t>
        </r>
        <r>
          <rPr>
            <sz val="9"/>
            <color indexed="81"/>
            <rFont val="Tahoma"/>
            <family val="2"/>
          </rPr>
          <t xml:space="preserve">
3/13/20 Sold all 550 EBAY @32.8 ($18,039.60)</t>
        </r>
      </text>
    </comment>
    <comment ref="IH60" authorId="0" shapeId="0" xr:uid="{B355B958-E327-47B6-8A52-C027B679E6D7}">
      <text>
        <r>
          <rPr>
            <b/>
            <sz val="9"/>
            <color indexed="81"/>
            <rFont val="Tahoma"/>
            <family val="2"/>
          </rPr>
          <t>Rob Squire:</t>
        </r>
        <r>
          <rPr>
            <sz val="9"/>
            <color indexed="81"/>
            <rFont val="Tahoma"/>
            <family val="2"/>
          </rPr>
          <t xml:space="preserve">
3/13/20 Sold all 50 FB @ 159.95 ($7,997.32)</t>
        </r>
      </text>
    </comment>
    <comment ref="IR60" authorId="0" shapeId="0" xr:uid="{070DDE75-E5D5-4029-9C95-AA7B2C321B2E}">
      <text>
        <r>
          <rPr>
            <b/>
            <sz val="9"/>
            <color indexed="81"/>
            <rFont val="Tahoma"/>
            <family val="2"/>
          </rPr>
          <t>Rob Squire:</t>
        </r>
        <r>
          <rPr>
            <sz val="9"/>
            <color indexed="81"/>
            <rFont val="Tahoma"/>
            <family val="2"/>
          </rPr>
          <t xml:space="preserve">
3/13/20 Sold all 100 IJH @ 145.42 ($14,541.67)</t>
        </r>
      </text>
    </comment>
    <comment ref="IS60" authorId="0" shapeId="0" xr:uid="{F73FCB66-C95A-464F-B788-054FA483994B}">
      <text>
        <r>
          <rPr>
            <b/>
            <sz val="9"/>
            <color indexed="81"/>
            <rFont val="Tahoma"/>
            <family val="2"/>
          </rPr>
          <t>Rob Squire:</t>
        </r>
        <r>
          <rPr>
            <sz val="9"/>
            <color indexed="81"/>
            <rFont val="Tahoma"/>
            <family val="2"/>
          </rPr>
          <t xml:space="preserve">
3/13/20 Sold all 250 IJR @ 57.71 ($14,427.18)</t>
        </r>
      </text>
    </comment>
    <comment ref="IT60" authorId="0" shapeId="0" xr:uid="{A1F41647-657A-4121-860E-06E51F2D6DB0}">
      <text>
        <r>
          <rPr>
            <b/>
            <sz val="9"/>
            <color indexed="81"/>
            <rFont val="Tahoma"/>
            <family val="2"/>
          </rPr>
          <t>Rob Squire:</t>
        </r>
        <r>
          <rPr>
            <sz val="9"/>
            <color indexed="81"/>
            <rFont val="Tahoma"/>
            <family val="2"/>
          </rPr>
          <t xml:space="preserve">
3/13/20 Sold all 400 INTC @ 47.99 ($19,195.57)</t>
        </r>
      </text>
    </comment>
    <comment ref="IX60" authorId="0" shapeId="0" xr:uid="{81959172-DAB4-4AD1-B337-2DCBADE30626}">
      <text>
        <r>
          <rPr>
            <b/>
            <sz val="9"/>
            <color indexed="81"/>
            <rFont val="Tahoma"/>
            <family val="2"/>
          </rPr>
          <t>Rob Squire:</t>
        </r>
        <r>
          <rPr>
            <sz val="9"/>
            <color indexed="81"/>
            <rFont val="Tahoma"/>
            <family val="2"/>
          </rPr>
          <t xml:space="preserve">
3/13/20 Sold all 200 JPM @ 89.73 ($17,945.60)</t>
        </r>
      </text>
    </comment>
    <comment ref="JF60" authorId="0" shapeId="0" xr:uid="{6B1B5772-1CF4-49BF-843E-F9E6C2CDA752}">
      <text>
        <r>
          <rPr>
            <b/>
            <sz val="9"/>
            <color indexed="81"/>
            <rFont val="Tahoma"/>
            <family val="2"/>
          </rPr>
          <t>Rob Squire:</t>
        </r>
        <r>
          <rPr>
            <sz val="9"/>
            <color indexed="81"/>
            <rFont val="Tahoma"/>
            <family val="2"/>
          </rPr>
          <t xml:space="preserve">
3/13/20 Sold all 265 LYB @ 47.25 ($12,520.97)</t>
        </r>
      </text>
    </comment>
    <comment ref="JL60" authorId="0" shapeId="0" xr:uid="{A4008C9C-C16E-485E-A39C-9B5E9CA5692F}">
      <text>
        <r>
          <rPr>
            <b/>
            <sz val="9"/>
            <color indexed="81"/>
            <rFont val="Tahoma"/>
            <family val="2"/>
          </rPr>
          <t>Rob Squire:</t>
        </r>
        <r>
          <rPr>
            <sz val="9"/>
            <color indexed="81"/>
            <rFont val="Tahoma"/>
            <family val="2"/>
          </rPr>
          <t xml:space="preserve">
3/13/20 Sold all 250 MRK @ 74.60 ($18,649.58)</t>
        </r>
      </text>
    </comment>
    <comment ref="JU60" authorId="0" shapeId="0" xr:uid="{AB2658BA-6BD7-4C28-B527-F065DA0F8A4B}">
      <text>
        <r>
          <rPr>
            <b/>
            <sz val="9"/>
            <color indexed="81"/>
            <rFont val="Tahoma"/>
            <family val="2"/>
          </rPr>
          <t>Rob Squire:</t>
        </r>
        <r>
          <rPr>
            <sz val="9"/>
            <color indexed="81"/>
            <rFont val="Tahoma"/>
            <family val="2"/>
          </rPr>
          <t xml:space="preserve">
3/13/20 Sold all 375 SLB @ 15.5 ($5,812.37)</t>
        </r>
      </text>
    </comment>
    <comment ref="KA60" authorId="0" shapeId="0" xr:uid="{3F5E06F0-F821-4E62-B26E-7BDE406F2970}">
      <text>
        <r>
          <rPr>
            <b/>
            <sz val="9"/>
            <color indexed="81"/>
            <rFont val="Tahoma"/>
            <family val="2"/>
          </rPr>
          <t>Rob Squire:</t>
        </r>
        <r>
          <rPr>
            <sz val="9"/>
            <color indexed="81"/>
            <rFont val="Tahoma"/>
            <family val="2"/>
          </rPr>
          <t xml:space="preserve">
3/13/20 Sold all 275 USB @ 33.76 ($9,283.79)</t>
        </r>
      </text>
    </comment>
    <comment ref="KD60" authorId="0" shapeId="0" xr:uid="{E8B08446-635A-4586-B381-9C4AEDADA027}">
      <text>
        <r>
          <rPr>
            <b/>
            <sz val="9"/>
            <color indexed="81"/>
            <rFont val="Tahoma"/>
            <family val="2"/>
          </rPr>
          <t>Rob Squire:</t>
        </r>
        <r>
          <rPr>
            <sz val="9"/>
            <color indexed="81"/>
            <rFont val="Tahoma"/>
            <family val="2"/>
          </rPr>
          <t xml:space="preserve">
3/13/20 Sold all 126 VAW @ 94.8 ($11,944.53)</t>
        </r>
      </text>
    </comment>
    <comment ref="KE60" authorId="0" shapeId="0" xr:uid="{2E185865-EB13-4C45-A521-82709141CB54}">
      <text>
        <r>
          <rPr>
            <b/>
            <sz val="9"/>
            <color indexed="81"/>
            <rFont val="Tahoma"/>
            <family val="2"/>
          </rPr>
          <t>Rob Squire:</t>
        </r>
        <r>
          <rPr>
            <sz val="9"/>
            <color indexed="81"/>
            <rFont val="Tahoma"/>
            <family val="2"/>
          </rPr>
          <t xml:space="preserve">
3/13/20 Sold all 132 VDC @ 135.95 ($17,945.00)</t>
        </r>
      </text>
    </comment>
    <comment ref="KJ60" authorId="0" shapeId="0" xr:uid="{70F79CC7-1D7A-41C3-95B1-2D626A0A7D16}">
      <text>
        <r>
          <rPr>
            <b/>
            <sz val="9"/>
            <color indexed="81"/>
            <rFont val="Tahoma"/>
            <family val="2"/>
          </rPr>
          <t>Rob Squire:</t>
        </r>
        <r>
          <rPr>
            <sz val="9"/>
            <color indexed="81"/>
            <rFont val="Tahoma"/>
            <family val="2"/>
          </rPr>
          <t xml:space="preserve">
3/13/20 Sold all 123 VIS @ 112.1 ($13,787.99)</t>
        </r>
      </text>
    </comment>
    <comment ref="KK60" authorId="0" shapeId="0" xr:uid="{453C8D2E-0F45-4029-9EA6-A4757FC0DFEE}">
      <text>
        <r>
          <rPr>
            <b/>
            <sz val="9"/>
            <color indexed="81"/>
            <rFont val="Tahoma"/>
            <family val="2"/>
          </rPr>
          <t>Rob Squire:</t>
        </r>
        <r>
          <rPr>
            <sz val="9"/>
            <color indexed="81"/>
            <rFont val="Tahoma"/>
            <family val="2"/>
          </rPr>
          <t xml:space="preserve">
3/13/20 Sold all 200 VLO @ 50.01 ($10,001.77)</t>
        </r>
      </text>
    </comment>
    <comment ref="KL60" authorId="0" shapeId="0" xr:uid="{012A041C-3BD5-4DC4-87B3-782CFF4E80D6}">
      <text>
        <r>
          <rPr>
            <b/>
            <sz val="9"/>
            <color indexed="81"/>
            <rFont val="Tahoma"/>
            <family val="2"/>
          </rPr>
          <t>Rob Squire:</t>
        </r>
        <r>
          <rPr>
            <sz val="9"/>
            <color indexed="81"/>
            <rFont val="Tahoma"/>
            <family val="2"/>
          </rPr>
          <t xml:space="preserve">
3/13/20 Sold all 200 VNQ @ 75.9 ($15,179.66)</t>
        </r>
      </text>
    </comment>
    <comment ref="KP60" authorId="0" shapeId="0" xr:uid="{13A11316-3A15-4609-A203-C99D2D4B93FC}">
      <text>
        <r>
          <rPr>
            <b/>
            <sz val="9"/>
            <color indexed="81"/>
            <rFont val="Tahoma"/>
            <family val="2"/>
          </rPr>
          <t>Rob Squire:</t>
        </r>
        <r>
          <rPr>
            <sz val="9"/>
            <color indexed="81"/>
            <rFont val="Tahoma"/>
            <family val="2"/>
          </rPr>
          <t xml:space="preserve">
3/13/20 Sold all 15 WFCPRL @ 1426.25 ($21,393,27)</t>
        </r>
      </text>
    </comment>
    <comment ref="KS60" authorId="0" shapeId="0" xr:uid="{F885BD10-4DD7-4C8F-A4F6-8DFEE4E2447F}">
      <text>
        <r>
          <rPr>
            <b/>
            <sz val="9"/>
            <color indexed="81"/>
            <rFont val="Tahoma"/>
            <family val="2"/>
          </rPr>
          <t>Rob Squire:</t>
        </r>
        <r>
          <rPr>
            <sz val="9"/>
            <color indexed="81"/>
            <rFont val="Tahoma"/>
            <family val="2"/>
          </rPr>
          <t xml:space="preserve">
3/13/20 Sold all 750 XLF @ 20.94 ($15,704.65)</t>
        </r>
      </text>
    </comment>
    <comment ref="AF61" authorId="0" shapeId="0" xr:uid="{CD5AECB3-4F18-48B2-802D-201FE0BEE0C2}">
      <text>
        <r>
          <rPr>
            <b/>
            <sz val="9"/>
            <color indexed="81"/>
            <rFont val="Tahoma"/>
            <family val="2"/>
          </rPr>
          <t>Rob Squire:</t>
        </r>
        <r>
          <rPr>
            <sz val="9"/>
            <color indexed="81"/>
            <rFont val="Tahoma"/>
            <family val="2"/>
          </rPr>
          <t xml:space="preserve">
Potash Corp bond matured</t>
        </r>
      </text>
    </comment>
    <comment ref="AM61" authorId="0" shapeId="0" xr:uid="{94C1906E-CF37-4F77-9F27-DFD190E8F950}">
      <text>
        <r>
          <rPr>
            <b/>
            <sz val="9"/>
            <color indexed="81"/>
            <rFont val="Tahoma"/>
            <family val="2"/>
          </rPr>
          <t>Rob Squire:</t>
        </r>
        <r>
          <rPr>
            <sz val="9"/>
            <color indexed="81"/>
            <rFont val="Tahoma"/>
            <family val="2"/>
          </rPr>
          <t xml:space="preserve">
3/26/2020  Bought 103 BABA @192.87 ($19,865.61)</t>
        </r>
      </text>
    </comment>
    <comment ref="AU61" authorId="0" shapeId="0" xr:uid="{0E08680D-E3FC-4005-8407-542CD3A1425B}">
      <text>
        <r>
          <rPr>
            <b/>
            <sz val="9"/>
            <color indexed="81"/>
            <rFont val="Tahoma"/>
            <family val="2"/>
          </rPr>
          <t>Rob Squire:</t>
        </r>
        <r>
          <rPr>
            <sz val="9"/>
            <color indexed="81"/>
            <rFont val="Tahoma"/>
            <family val="2"/>
          </rPr>
          <t xml:space="preserve">
3/25/2020  Sold all 4,851.275 of DODIX @13.57 ($65,831.80)</t>
        </r>
      </text>
    </comment>
    <comment ref="AX61" authorId="0" shapeId="0" xr:uid="{D6042B23-9E63-413A-AC07-ADEB6B5745BA}">
      <text>
        <r>
          <rPr>
            <b/>
            <sz val="9"/>
            <color indexed="81"/>
            <rFont val="Tahoma"/>
            <family val="2"/>
          </rPr>
          <t>Rob Squire:</t>
        </r>
        <r>
          <rPr>
            <sz val="9"/>
            <color indexed="81"/>
            <rFont val="Tahoma"/>
            <family val="2"/>
          </rPr>
          <t xml:space="preserve">
3/25/2020  Sold all 825.316 of FNMIX @12.73 ($10,506.27)</t>
        </r>
      </text>
    </comment>
    <comment ref="AZ61" authorId="0" shapeId="0" xr:uid="{9CF6923A-946A-4BF9-AEF5-9440FA2F121D}">
      <text>
        <r>
          <rPr>
            <b/>
            <sz val="9"/>
            <color indexed="81"/>
            <rFont val="Tahoma"/>
            <family val="2"/>
          </rPr>
          <t>Rob Squire:</t>
        </r>
        <r>
          <rPr>
            <sz val="9"/>
            <color indexed="81"/>
            <rFont val="Tahoma"/>
            <family val="2"/>
          </rPr>
          <t xml:space="preserve">
3/25/2020  Sold all 1,191.197 of FTBFX @ 10.5 ($12,507.57)</t>
        </r>
      </text>
    </comment>
    <comment ref="BK61" authorId="0" shapeId="0" xr:uid="{1FB40F15-EEF8-4AFE-B3EC-A09DF9C9275E}">
      <text>
        <r>
          <rPr>
            <b/>
            <sz val="9"/>
            <color indexed="81"/>
            <rFont val="Tahoma"/>
            <family val="2"/>
          </rPr>
          <t>Rob Squire:</t>
        </r>
        <r>
          <rPr>
            <sz val="9"/>
            <color indexed="81"/>
            <rFont val="Tahoma"/>
            <family val="2"/>
          </rPr>
          <t xml:space="preserve">
3/26/2020  Bought 1,023 HI @19.4582 ($19,905.74)</t>
        </r>
      </text>
    </comment>
    <comment ref="BP61" authorId="0" shapeId="0" xr:uid="{C6193CC5-67CB-4759-9170-CD4E8CC2686A}">
      <text>
        <r>
          <rPr>
            <b/>
            <sz val="9"/>
            <color indexed="81"/>
            <rFont val="Tahoma"/>
            <family val="2"/>
          </rPr>
          <t>Rob Squire:</t>
        </r>
        <r>
          <rPr>
            <sz val="9"/>
            <color indexed="81"/>
            <rFont val="Tahoma"/>
            <family val="2"/>
          </rPr>
          <t xml:space="preserve">
3/30/2020  Bought 151 JNJ @132.3058 ($19,978.18)</t>
        </r>
      </text>
    </comment>
    <comment ref="BW61" authorId="0" shapeId="0" xr:uid="{70F92086-CC9F-4342-AF19-19523CD90BA2}">
      <text>
        <r>
          <rPr>
            <b/>
            <sz val="9"/>
            <color indexed="81"/>
            <rFont val="Tahoma"/>
            <family val="2"/>
          </rPr>
          <t>Rob Squire:</t>
        </r>
        <r>
          <rPr>
            <sz val="9"/>
            <color indexed="81"/>
            <rFont val="Tahoma"/>
            <family val="2"/>
          </rPr>
          <t xml:space="preserve">
3/30/2020  Bought 53 NFLX @372.194 ($19,726.28)</t>
        </r>
      </text>
    </comment>
    <comment ref="CA61" authorId="0" shapeId="0" xr:uid="{B37E2CC6-04E9-4DE2-B4D5-25DD0C91BDD6}">
      <text>
        <r>
          <rPr>
            <b/>
            <sz val="9"/>
            <color indexed="81"/>
            <rFont val="Tahoma"/>
            <family val="2"/>
          </rPr>
          <t>Rob Squire:</t>
        </r>
        <r>
          <rPr>
            <sz val="9"/>
            <color indexed="81"/>
            <rFont val="Tahoma"/>
            <family val="2"/>
          </rPr>
          <t xml:space="preserve">
3/25/2020  Sold all 8,596.644 of PONAX @10.65 ($91,554.26)</t>
        </r>
      </text>
    </comment>
    <comment ref="CB61" authorId="0" shapeId="0" xr:uid="{CF51D0E2-7D8E-470B-AE67-D0DAD437EA30}">
      <text>
        <r>
          <rPr>
            <b/>
            <sz val="9"/>
            <color indexed="81"/>
            <rFont val="Tahoma"/>
            <family val="2"/>
          </rPr>
          <t>Rob Squire:</t>
        </r>
        <r>
          <rPr>
            <sz val="9"/>
            <color indexed="81"/>
            <rFont val="Tahoma"/>
            <family val="2"/>
          </rPr>
          <t xml:space="preserve">
3/26/2020  Bought 128 RTN @155.54 ($19,909.12)
Became 298 shares of RTX</t>
        </r>
      </text>
    </comment>
    <comment ref="CW61" authorId="0" shapeId="0" xr:uid="{98F58633-4D9A-40BF-B14F-4FB34F845880}">
      <text>
        <r>
          <rPr>
            <b/>
            <sz val="9"/>
            <color indexed="81"/>
            <rFont val="Tahoma"/>
            <family val="2"/>
          </rPr>
          <t>Rob Squire:</t>
        </r>
        <r>
          <rPr>
            <sz val="9"/>
            <color indexed="81"/>
            <rFont val="Tahoma"/>
            <family val="2"/>
          </rPr>
          <t xml:space="preserve">
3/26/2020  Bought 138 ZM @143.8658 ($19,853.48)</t>
        </r>
      </text>
    </comment>
    <comment ref="NW61" authorId="0" shapeId="0" xr:uid="{BBBB1526-725C-466F-972C-54F426F7C620}">
      <text>
        <r>
          <rPr>
            <b/>
            <sz val="9"/>
            <color indexed="81"/>
            <rFont val="Tahoma"/>
            <family val="2"/>
          </rPr>
          <t>Rob Squire:</t>
        </r>
        <r>
          <rPr>
            <sz val="9"/>
            <color indexed="81"/>
            <rFont val="Tahoma"/>
            <family val="2"/>
          </rPr>
          <t xml:space="preserve">
3/25/2020  Sold all 2,509.324 of BAICS @ 9.15 ($22,960.31)</t>
        </r>
      </text>
    </comment>
    <comment ref="I62" authorId="0" shapeId="0" xr:uid="{8A0D6E33-1B41-4E4A-B458-41E588A1BCDB}">
      <text>
        <r>
          <rPr>
            <b/>
            <sz val="9"/>
            <color indexed="81"/>
            <rFont val="Tahoma"/>
            <family val="2"/>
          </rPr>
          <t>Rob Squire:</t>
        </r>
        <r>
          <rPr>
            <sz val="9"/>
            <color indexed="81"/>
            <rFont val="Tahoma"/>
            <family val="2"/>
          </rPr>
          <t xml:space="preserve">
4/7/2020 Bought 400 IShares Trust Core MSCI EAFE ETF (IEFA) @ 50.455 ($20,182.00)</t>
        </r>
      </text>
    </comment>
    <comment ref="J62" authorId="0" shapeId="0" xr:uid="{7D9CC8E8-2ACA-479A-8F61-323EEE7122D3}">
      <text>
        <r>
          <rPr>
            <b/>
            <sz val="9"/>
            <color indexed="81"/>
            <rFont val="Tahoma"/>
            <family val="2"/>
          </rPr>
          <t>Rob Squire:</t>
        </r>
        <r>
          <rPr>
            <sz val="9"/>
            <color indexed="81"/>
            <rFont val="Tahoma"/>
            <family val="2"/>
          </rPr>
          <t xml:space="preserve">
4/7/2020 Bought 275 IShares Core MSCI Emerging Mkts (IEMG) @ 41.7855 ($11,491.01)</t>
        </r>
      </text>
    </comment>
    <comment ref="L62" authorId="0" shapeId="0" xr:uid="{03EBC88D-4AB1-44A8-9436-AA9508F133AF}">
      <text>
        <r>
          <rPr>
            <b/>
            <sz val="9"/>
            <color indexed="81"/>
            <rFont val="Tahoma"/>
            <family val="2"/>
          </rPr>
          <t>Rob Squire:</t>
        </r>
        <r>
          <rPr>
            <sz val="9"/>
            <color indexed="81"/>
            <rFont val="Tahoma"/>
            <family val="2"/>
          </rPr>
          <t xml:space="preserve">
4/7/2020 Bought 175 JP Morgan &amp; Chase (JPM) @ 91.8141 ($16,067.47)</t>
        </r>
      </text>
    </comment>
    <comment ref="M62" authorId="0" shapeId="0" xr:uid="{85AB9878-1C9E-4F9B-A6BA-93A8253E13EC}">
      <text>
        <r>
          <rPr>
            <b/>
            <sz val="9"/>
            <color indexed="81"/>
            <rFont val="Tahoma"/>
            <family val="2"/>
          </rPr>
          <t>Rob Squire:</t>
        </r>
        <r>
          <rPr>
            <sz val="9"/>
            <color indexed="81"/>
            <rFont val="Tahoma"/>
            <family val="2"/>
          </rPr>
          <t xml:space="preserve">
4/7/2020 Bought 95 Microsoft (MSFT) @ 165.5045 ($15,722.93)</t>
        </r>
      </text>
    </comment>
    <comment ref="T62" authorId="0" shapeId="0" xr:uid="{8BAAF494-B205-4E9C-82E9-5F95FFF9FB15}">
      <text>
        <r>
          <rPr>
            <b/>
            <sz val="9"/>
            <color indexed="81"/>
            <rFont val="Tahoma"/>
            <family val="2"/>
          </rPr>
          <t>Rob Squire:</t>
        </r>
        <r>
          <rPr>
            <sz val="9"/>
            <color indexed="81"/>
            <rFont val="Tahoma"/>
            <family val="2"/>
          </rPr>
          <t xml:space="preserve">
4/7/2020 Bought 200 Vanguard Int’l Equity (VSS) @ 79.8393 ($15,967.86)</t>
        </r>
      </text>
    </comment>
    <comment ref="AH62" authorId="0" shapeId="0" xr:uid="{5EA9B90D-F78C-4C0C-92F1-05BC16D06FE7}">
      <text>
        <r>
          <rPr>
            <b/>
            <sz val="9"/>
            <color indexed="81"/>
            <rFont val="Tahoma"/>
            <family val="2"/>
          </rPr>
          <t>Rob Squire:</t>
        </r>
        <r>
          <rPr>
            <sz val="9"/>
            <color indexed="81"/>
            <rFont val="Tahoma"/>
            <family val="2"/>
          </rPr>
          <t xml:space="preserve">
4/7/2020 Bought   60 Apple (AAPL) @ 261.6992 ($15,701.95)</t>
        </r>
      </text>
    </comment>
    <comment ref="BE62" authorId="0" shapeId="0" xr:uid="{EC52E8C0-21FE-43D8-AE49-E84C8616DA04}">
      <text>
        <r>
          <rPr>
            <b/>
            <sz val="9"/>
            <color indexed="81"/>
            <rFont val="Tahoma"/>
            <family val="2"/>
          </rPr>
          <t>Rob Squire:</t>
        </r>
        <r>
          <rPr>
            <sz val="9"/>
            <color indexed="81"/>
            <rFont val="Tahoma"/>
            <family val="2"/>
          </rPr>
          <t xml:space="preserve">
4/7/2020 Bought  12 Alphabet (GOOGL) @ 1190.14 ($14,281.68</t>
        </r>
      </text>
    </comment>
    <comment ref="BN62" authorId="0" shapeId="0" xr:uid="{7876F652-EB7F-4A4A-B338-36698A83F77B}">
      <text>
        <r>
          <rPr>
            <b/>
            <sz val="9"/>
            <color indexed="81"/>
            <rFont val="Tahoma"/>
            <family val="2"/>
          </rPr>
          <t>Rob Squire:</t>
        </r>
        <r>
          <rPr>
            <sz val="9"/>
            <color indexed="81"/>
            <rFont val="Tahoma"/>
            <family val="2"/>
          </rPr>
          <t xml:space="preserve">
4/7/2020 Bought  250 IShares S&amp;P Small Cap (IJR) @ 55.81 ($13,952.50)</t>
        </r>
      </text>
    </comment>
    <comment ref="CQ62" authorId="0" shapeId="0" xr:uid="{D1F3CA8D-5855-40C9-83DC-342D7E380EC0}">
      <text>
        <r>
          <rPr>
            <b/>
            <sz val="9"/>
            <color indexed="81"/>
            <rFont val="Tahoma"/>
            <family val="2"/>
          </rPr>
          <t>Rob Squire:</t>
        </r>
        <r>
          <rPr>
            <sz val="9"/>
            <color indexed="81"/>
            <rFont val="Tahoma"/>
            <family val="2"/>
          </rPr>
          <t xml:space="preserve">
4/7/2020 Bought  175 Vanguard Real Estate (VNQ) @70.855 ($12,399.63)</t>
        </r>
      </text>
    </comment>
    <comment ref="CU62" authorId="0" shapeId="0" xr:uid="{9FCBF69E-D4B4-4E86-A94A-2E45538BAC12}">
      <text>
        <r>
          <rPr>
            <b/>
            <sz val="9"/>
            <color indexed="81"/>
            <rFont val="Tahoma"/>
            <family val="2"/>
          </rPr>
          <t>Rob Squire:</t>
        </r>
        <r>
          <rPr>
            <sz val="9"/>
            <color indexed="81"/>
            <rFont val="Tahoma"/>
            <family val="2"/>
          </rPr>
          <t xml:space="preserve">
4/7/2020 Bought  12 Wells Fargo (WFCPRL) @ 1275 ($15,300.00)</t>
        </r>
      </text>
    </comment>
    <comment ref="ES62" authorId="0" shapeId="0" xr:uid="{0E026C07-778C-4433-BD68-A21935B50077}">
      <text>
        <r>
          <rPr>
            <b/>
            <sz val="9"/>
            <color indexed="81"/>
            <rFont val="Tahoma"/>
            <family val="2"/>
          </rPr>
          <t>Rob Squire:</t>
        </r>
        <r>
          <rPr>
            <sz val="9"/>
            <color indexed="81"/>
            <rFont val="Tahoma"/>
            <family val="2"/>
          </rPr>
          <t xml:space="preserve">
S&amp;P was at 2659</t>
        </r>
      </text>
    </comment>
    <comment ref="FC62" authorId="0" shapeId="0" xr:uid="{FC42151C-D69D-4BC1-B683-F0EF8ACCA21C}">
      <text>
        <r>
          <rPr>
            <b/>
            <sz val="9"/>
            <color indexed="81"/>
            <rFont val="Tahoma"/>
            <family val="2"/>
          </rPr>
          <t>Rob Squire:</t>
        </r>
        <r>
          <rPr>
            <sz val="9"/>
            <color indexed="81"/>
            <rFont val="Tahoma"/>
            <family val="2"/>
          </rPr>
          <t xml:space="preserve">
4/7/2020 Bought 8 Amazon (AMZN) @ 2017.1600 ($16,137.28)</t>
        </r>
      </text>
    </comment>
    <comment ref="FD62" authorId="0" shapeId="0" xr:uid="{41B7D51C-CA7D-4275-A544-9175076590B7}">
      <text>
        <r>
          <rPr>
            <b/>
            <sz val="9"/>
            <color indexed="81"/>
            <rFont val="Tahoma"/>
            <family val="2"/>
          </rPr>
          <t>Rob Squire:</t>
        </r>
        <r>
          <rPr>
            <sz val="9"/>
            <color indexed="81"/>
            <rFont val="Tahoma"/>
            <family val="2"/>
          </rPr>
          <t xml:space="preserve">
4/7/2020 Bought 75 Air Products &amp; Chem (APD) @ 202.8211 ($15,211.58)</t>
        </r>
      </text>
    </comment>
    <comment ref="FE62" authorId="0" shapeId="0" xr:uid="{FA1C6D9C-158E-45E1-B07E-E4A4BCA480E2}">
      <text>
        <r>
          <rPr>
            <b/>
            <sz val="9"/>
            <color indexed="81"/>
            <rFont val="Tahoma"/>
            <family val="2"/>
          </rPr>
          <t>Rob Squire:</t>
        </r>
        <r>
          <rPr>
            <sz val="9"/>
            <color indexed="81"/>
            <rFont val="Tahoma"/>
            <family val="2"/>
          </rPr>
          <t xml:space="preserve">
4/7/2020 Bought 350 Citigroup (C) @ 42.1917 ($14,767.10)</t>
        </r>
      </text>
    </comment>
    <comment ref="FF62" authorId="0" shapeId="0" xr:uid="{2F9403A8-7710-4783-92BE-F8E6DB793DE6}">
      <text>
        <r>
          <rPr>
            <b/>
            <sz val="9"/>
            <color indexed="81"/>
            <rFont val="Tahoma"/>
            <family val="2"/>
          </rPr>
          <t>Rob Squire:</t>
        </r>
        <r>
          <rPr>
            <sz val="9"/>
            <color indexed="81"/>
            <rFont val="Tahoma"/>
            <family val="2"/>
          </rPr>
          <t xml:space="preserve">
4/7/2020 Bought 225 Cerner Corp (CERN) @ 64.37 ($14,483.25)</t>
        </r>
      </text>
    </comment>
    <comment ref="FG62" authorId="0" shapeId="0" xr:uid="{70B725E0-4B1B-413D-9713-09BED8A8103D}">
      <text>
        <r>
          <rPr>
            <b/>
            <sz val="9"/>
            <color indexed="81"/>
            <rFont val="Tahoma"/>
            <family val="2"/>
          </rPr>
          <t>Rob Squire:</t>
        </r>
        <r>
          <rPr>
            <sz val="9"/>
            <color indexed="81"/>
            <rFont val="Tahoma"/>
            <family val="2"/>
          </rPr>
          <t xml:space="preserve">
4/13/2020 Bought 20 Costco (COST) @ 299.79 ($5,995.80)</t>
        </r>
      </text>
    </comment>
    <comment ref="FT62" authorId="0" shapeId="0" xr:uid="{349EC99C-C6C3-491F-9BC0-FCCF38613E81}">
      <text>
        <r>
          <rPr>
            <b/>
            <sz val="9"/>
            <color indexed="81"/>
            <rFont val="Tahoma"/>
            <family val="2"/>
          </rPr>
          <t>Rob Squire:</t>
        </r>
        <r>
          <rPr>
            <sz val="9"/>
            <color indexed="81"/>
            <rFont val="Tahoma"/>
            <family val="2"/>
          </rPr>
          <t xml:space="preserve">
4/7/2020 Bought 400 IShares Trust Core MSCI EAFE ETF (IEFA) @ 50.455 ($20,182.00)</t>
        </r>
      </text>
    </comment>
    <comment ref="FU62" authorId="0" shapeId="0" xr:uid="{2BB61DA4-C2A0-454D-BA90-36F48CEA0D21}">
      <text>
        <r>
          <rPr>
            <b/>
            <sz val="9"/>
            <color indexed="81"/>
            <rFont val="Tahoma"/>
            <family val="2"/>
          </rPr>
          <t>Rob Squire:</t>
        </r>
        <r>
          <rPr>
            <sz val="9"/>
            <color indexed="81"/>
            <rFont val="Tahoma"/>
            <family val="2"/>
          </rPr>
          <t xml:space="preserve">
4/7/2020 Bought 275 IShares Core MSCI Emerging Mkts (IEMG) @ 41.7855 ($11,491.01)</t>
        </r>
      </text>
    </comment>
    <comment ref="FV62" authorId="0" shapeId="0" xr:uid="{24FE83AC-20C4-4FB2-8FFC-1CC61379D674}">
      <text>
        <r>
          <rPr>
            <b/>
            <sz val="9"/>
            <color indexed="81"/>
            <rFont val="Tahoma"/>
            <family val="2"/>
          </rPr>
          <t>Rob Squire:</t>
        </r>
        <r>
          <rPr>
            <sz val="9"/>
            <color indexed="81"/>
            <rFont val="Tahoma"/>
            <family val="2"/>
          </rPr>
          <t xml:space="preserve">
4/7/2020 Bought 100 IShares S&amp;P Midcap (IJH) @ 147.0099 ($14,700.99)</t>
        </r>
      </text>
    </comment>
    <comment ref="FY62" authorId="0" shapeId="0" xr:uid="{BC086626-5743-4AEF-8FC3-05BD7C04943A}">
      <text>
        <r>
          <rPr>
            <b/>
            <sz val="9"/>
            <color indexed="81"/>
            <rFont val="Tahoma"/>
            <family val="2"/>
          </rPr>
          <t>Rob Squire:</t>
        </r>
        <r>
          <rPr>
            <sz val="9"/>
            <color indexed="81"/>
            <rFont val="Tahoma"/>
            <family val="2"/>
          </rPr>
          <t xml:space="preserve">
4/7/2020 Bought 175 JP Morgan &amp; Chase (JPM) @ 91.8141 ($16,067.47)</t>
        </r>
      </text>
    </comment>
    <comment ref="GC62" authorId="0" shapeId="0" xr:uid="{6F63F268-F0E2-4772-B472-2F5C5CF85A2F}">
      <text>
        <r>
          <rPr>
            <b/>
            <sz val="9"/>
            <color indexed="81"/>
            <rFont val="Tahoma"/>
            <family val="2"/>
          </rPr>
          <t>Rob Squire:</t>
        </r>
        <r>
          <rPr>
            <sz val="9"/>
            <color indexed="81"/>
            <rFont val="Tahoma"/>
            <family val="2"/>
          </rPr>
          <t xml:space="preserve">
4/7/2020 Bought 400 Altria Group Inc (MO) @ 38.8837 ($15,533.48)</t>
        </r>
      </text>
    </comment>
    <comment ref="GD62" authorId="0" shapeId="0" xr:uid="{6DA65765-0C0E-4EE4-B161-383CD0DFB51A}">
      <text>
        <r>
          <rPr>
            <b/>
            <sz val="9"/>
            <color indexed="81"/>
            <rFont val="Tahoma"/>
            <family val="2"/>
          </rPr>
          <t>Rob Squire:</t>
        </r>
        <r>
          <rPr>
            <sz val="9"/>
            <color indexed="81"/>
            <rFont val="Tahoma"/>
            <family val="2"/>
          </rPr>
          <t xml:space="preserve">
4/7/2020 Bought 95 Microsoft (MSFT) @ 165.5045 ($15,722.93)</t>
        </r>
      </text>
    </comment>
    <comment ref="GE62" authorId="0" shapeId="0" xr:uid="{60F4C4D2-F25C-49E0-8824-625DE65F9138}">
      <text>
        <r>
          <rPr>
            <b/>
            <sz val="9"/>
            <color indexed="81"/>
            <rFont val="Tahoma"/>
            <family val="2"/>
          </rPr>
          <t>Rob Squire:</t>
        </r>
        <r>
          <rPr>
            <sz val="9"/>
            <color indexed="81"/>
            <rFont val="Tahoma"/>
            <family val="2"/>
          </rPr>
          <t xml:space="preserve">
4/7/2020 Bought 150 Nestle (NSRGY) @ 105.625 ($15,843.75)</t>
        </r>
      </text>
    </comment>
    <comment ref="GK62" authorId="0" shapeId="0" xr:uid="{7F79E6BB-9BFB-4D00-9CAF-78AB1ADC81F5}">
      <text>
        <r>
          <rPr>
            <b/>
            <sz val="9"/>
            <color indexed="81"/>
            <rFont val="Tahoma"/>
            <family val="2"/>
          </rPr>
          <t>Rob Squire:</t>
        </r>
        <r>
          <rPr>
            <sz val="9"/>
            <color indexed="81"/>
            <rFont val="Tahoma"/>
            <family val="2"/>
          </rPr>
          <t xml:space="preserve">
4/7/2020 Bought 625 PPL Corp (PPL) @ 24.87 ($15,543.75)</t>
        </r>
      </text>
    </comment>
    <comment ref="GQ62" authorId="0" shapeId="0" xr:uid="{4658421D-3149-4842-AD0B-9054D6A86EF0}">
      <text>
        <r>
          <rPr>
            <b/>
            <sz val="9"/>
            <color indexed="81"/>
            <rFont val="Tahoma"/>
            <family val="2"/>
          </rPr>
          <t>Rob Squire:</t>
        </r>
        <r>
          <rPr>
            <sz val="9"/>
            <color indexed="81"/>
            <rFont val="Tahoma"/>
            <family val="2"/>
          </rPr>
          <t xml:space="preserve">
4/7/2020 Bought 60 United Health Group (UNH) @ 248.9488 ($14,936.93)</t>
        </r>
      </text>
    </comment>
    <comment ref="GU62" authorId="0" shapeId="0" xr:uid="{1E985339-463F-4619-8749-30A6FC9EBE44}">
      <text>
        <r>
          <rPr>
            <b/>
            <sz val="9"/>
            <color indexed="81"/>
            <rFont val="Tahoma"/>
            <family val="2"/>
          </rPr>
          <t>Rob Squire:</t>
        </r>
        <r>
          <rPr>
            <sz val="9"/>
            <color indexed="81"/>
            <rFont val="Tahoma"/>
            <family val="2"/>
          </rPr>
          <t xml:space="preserve">
4/7/2020 Bought 300 Valero (VLO) @ 49.1729 ($14,751.87)</t>
        </r>
      </text>
    </comment>
    <comment ref="GV62" authorId="0" shapeId="0" xr:uid="{FE34459D-FE4C-4A6A-A3EC-2F9A5FB91DE8}">
      <text>
        <r>
          <rPr>
            <b/>
            <sz val="9"/>
            <color indexed="81"/>
            <rFont val="Tahoma"/>
            <family val="2"/>
          </rPr>
          <t>Rob Squire:</t>
        </r>
        <r>
          <rPr>
            <sz val="9"/>
            <color indexed="81"/>
            <rFont val="Tahoma"/>
            <family val="2"/>
          </rPr>
          <t xml:space="preserve">
4/7/2020 Bought 200 Vanguard Int’l Equity (VSS) @ 79.8393 ($15,967.86)</t>
        </r>
      </text>
    </comment>
    <comment ref="GY62" authorId="0" shapeId="0" xr:uid="{607D070A-54F6-4FD2-82B6-960FE4C2EEC4}">
      <text>
        <r>
          <rPr>
            <b/>
            <sz val="9"/>
            <color indexed="81"/>
            <rFont val="Tahoma"/>
            <family val="2"/>
          </rPr>
          <t>Rob Squire:</t>
        </r>
        <r>
          <rPr>
            <sz val="9"/>
            <color indexed="81"/>
            <rFont val="Tahoma"/>
            <family val="2"/>
          </rPr>
          <t xml:space="preserve">
4/7/2020 Bought 175 Waste Mgt (WM) @ 92.2392 ($16,141.86)</t>
        </r>
      </text>
    </comment>
    <comment ref="HF62" authorId="0" shapeId="0" xr:uid="{2BF92AA2-D708-4883-86AB-7154091F2072}">
      <text>
        <r>
          <rPr>
            <b/>
            <sz val="9"/>
            <color indexed="81"/>
            <rFont val="Tahoma"/>
            <family val="2"/>
          </rPr>
          <t>Rob Squire:</t>
        </r>
        <r>
          <rPr>
            <sz val="9"/>
            <color indexed="81"/>
            <rFont val="Tahoma"/>
            <family val="2"/>
          </rPr>
          <t xml:space="preserve">
S&amp;P was at 2659</t>
        </r>
      </text>
    </comment>
    <comment ref="HH62" authorId="0" shapeId="0" xr:uid="{3B587661-AC11-410D-ADA5-879C1C64607F}">
      <text>
        <r>
          <rPr>
            <b/>
            <sz val="9"/>
            <color indexed="81"/>
            <rFont val="Tahoma"/>
            <family val="2"/>
          </rPr>
          <t>Rob Squire:</t>
        </r>
        <r>
          <rPr>
            <sz val="9"/>
            <color indexed="81"/>
            <rFont val="Tahoma"/>
            <family val="2"/>
          </rPr>
          <t xml:space="preserve">
4/7/2020 Bought   60 Apple (AAPL) @ 261.6992 ($15,701.95)</t>
        </r>
      </text>
    </comment>
    <comment ref="HP62" authorId="0" shapeId="0" xr:uid="{71DEEA5E-B522-41AA-AA29-A35993179C34}">
      <text>
        <r>
          <rPr>
            <b/>
            <sz val="9"/>
            <color indexed="81"/>
            <rFont val="Tahoma"/>
            <family val="2"/>
          </rPr>
          <t>Rob Squire:</t>
        </r>
        <r>
          <rPr>
            <sz val="9"/>
            <color indexed="81"/>
            <rFont val="Tahoma"/>
            <family val="2"/>
          </rPr>
          <t xml:space="preserve">
4/7/2020 Bought  350 BCE Inc (BCE) @ 41.3116 ($14.459.06)</t>
        </r>
      </text>
    </comment>
    <comment ref="IA62" authorId="0" shapeId="0" xr:uid="{0030D7AF-83C3-4944-A56D-32562DFD272F}">
      <text>
        <r>
          <rPr>
            <b/>
            <sz val="9"/>
            <color indexed="81"/>
            <rFont val="Tahoma"/>
            <family val="2"/>
          </rPr>
          <t>Rob Squire:</t>
        </r>
        <r>
          <rPr>
            <sz val="9"/>
            <color indexed="81"/>
            <rFont val="Tahoma"/>
            <family val="2"/>
          </rPr>
          <t xml:space="preserve">
4/7/2020 Bought  300 Cognizant Tech Solns (CTSH) @ 48.3131 ($14,493.93)</t>
        </r>
      </text>
    </comment>
    <comment ref="IC62" authorId="0" shapeId="0" xr:uid="{BA85FF38-DF0A-4342-B2BC-11B77B41048E}">
      <text>
        <r>
          <rPr>
            <b/>
            <sz val="9"/>
            <color indexed="81"/>
            <rFont val="Tahoma"/>
            <family val="2"/>
          </rPr>
          <t>Rob Squire:</t>
        </r>
        <r>
          <rPr>
            <sz val="9"/>
            <color indexed="81"/>
            <rFont val="Tahoma"/>
            <family val="2"/>
          </rPr>
          <t xml:space="preserve">
4/7/2020 Bought  175 Quest Diagnostics (DGX) @ 83.6192 ($14,633.36)</t>
        </r>
      </text>
    </comment>
    <comment ref="IE62" authorId="0" shapeId="0" xr:uid="{1F040601-1952-497B-ABFA-59D273A5A86C}">
      <text>
        <r>
          <rPr>
            <b/>
            <sz val="9"/>
            <color indexed="81"/>
            <rFont val="Tahoma"/>
            <family val="2"/>
          </rPr>
          <t>Rob Squire:</t>
        </r>
        <r>
          <rPr>
            <sz val="9"/>
            <color indexed="81"/>
            <rFont val="Tahoma"/>
            <family val="2"/>
          </rPr>
          <t xml:space="preserve">
4/7/2020 Bought  140 105.51 Electronic Arts (EA) @ 105.51 ($14,771.40)</t>
        </r>
      </text>
    </comment>
    <comment ref="IH62" authorId="0" shapeId="0" xr:uid="{A9120636-9B2E-4BE1-B00D-1CA82B724633}">
      <text>
        <r>
          <rPr>
            <b/>
            <sz val="9"/>
            <color indexed="81"/>
            <rFont val="Tahoma"/>
            <family val="2"/>
          </rPr>
          <t>Rob Squire:</t>
        </r>
        <r>
          <rPr>
            <sz val="9"/>
            <color indexed="81"/>
            <rFont val="Tahoma"/>
            <family val="2"/>
          </rPr>
          <t xml:space="preserve">
4/7/2020 Bought  85 Facebook (FB) @ 169.18 ($14,380.30)</t>
        </r>
      </text>
    </comment>
    <comment ref="IM62" authorId="0" shapeId="0" xr:uid="{761EFFEA-B3B9-4C20-BC76-778F1B2732FE}">
      <text>
        <r>
          <rPr>
            <b/>
            <sz val="9"/>
            <color indexed="81"/>
            <rFont val="Tahoma"/>
            <family val="2"/>
          </rPr>
          <t>Rob Squire:</t>
        </r>
        <r>
          <rPr>
            <sz val="9"/>
            <color indexed="81"/>
            <rFont val="Tahoma"/>
            <family val="2"/>
          </rPr>
          <t xml:space="preserve">
4/7/2020 Bought  12 Alphabet (GOOGL) @ 1190.14 ($14,281.68</t>
        </r>
      </text>
    </comment>
    <comment ref="IS62" authorId="0" shapeId="0" xr:uid="{98E3ED5D-3253-4188-93FF-46CB0F5F7A8F}">
      <text>
        <r>
          <rPr>
            <b/>
            <sz val="9"/>
            <color indexed="81"/>
            <rFont val="Tahoma"/>
            <family val="2"/>
          </rPr>
          <t>Rob Squire:</t>
        </r>
        <r>
          <rPr>
            <sz val="9"/>
            <color indexed="81"/>
            <rFont val="Tahoma"/>
            <family val="2"/>
          </rPr>
          <t xml:space="preserve">
4/7/2020 Bought  250 IShares S&amp;P Small Cap (IJR) @ 55.81 ($13,952.50)</t>
        </r>
      </text>
    </comment>
    <comment ref="IU62" authorId="0" shapeId="0" xr:uid="{68DA22D9-394B-4826-BA82-FBC5D8CDB778}">
      <text>
        <r>
          <rPr>
            <b/>
            <sz val="9"/>
            <color indexed="81"/>
            <rFont val="Tahoma"/>
            <family val="2"/>
          </rPr>
          <t>Rob Squire:</t>
        </r>
        <r>
          <rPr>
            <sz val="9"/>
            <color indexed="81"/>
            <rFont val="Tahoma"/>
            <family val="2"/>
          </rPr>
          <t xml:space="preserve">
4/7/2020 Bought  90 IShares Core S&amp;P500 (IVV) @ 268.685 ($24,181.65)
4/14/2020 Sold 50 IShares Core S&amp;P500 (IVV) @ 284.6217 (14,230.77) 
40 shares remaining</t>
        </r>
      </text>
    </comment>
    <comment ref="IW62" authorId="0" shapeId="0" xr:uid="{FC17231B-6364-467C-B570-A041FE66188D}">
      <text>
        <r>
          <rPr>
            <b/>
            <sz val="9"/>
            <color indexed="81"/>
            <rFont val="Tahoma"/>
            <family val="2"/>
          </rPr>
          <t>Rob Squire:</t>
        </r>
        <r>
          <rPr>
            <sz val="9"/>
            <color indexed="81"/>
            <rFont val="Tahoma"/>
            <family val="2"/>
          </rPr>
          <t xml:space="preserve">
4/7/2020 Bought  110 Johnson &amp; Johnson (JNJ) @ 138.5778 ($15.243.56)</t>
        </r>
      </text>
    </comment>
    <comment ref="IZ62" authorId="0" shapeId="0" xr:uid="{08BBAA8A-120C-4204-922D-4ABE103BBEB7}">
      <text>
        <r>
          <rPr>
            <b/>
            <sz val="9"/>
            <color indexed="81"/>
            <rFont val="Tahoma"/>
            <family val="2"/>
          </rPr>
          <t>Rob Squire:</t>
        </r>
        <r>
          <rPr>
            <sz val="9"/>
            <color indexed="81"/>
            <rFont val="Tahoma"/>
            <family val="2"/>
          </rPr>
          <t xml:space="preserve">
4/7/2020 Bought  325 Coca Cola (KO) @ 46.9809 ($15,268.79)</t>
        </r>
      </text>
    </comment>
    <comment ref="JC62" authorId="0" shapeId="0" xr:uid="{B244F5C6-7352-4110-A0FA-77CBEFC54EED}">
      <text>
        <r>
          <rPr>
            <b/>
            <sz val="9"/>
            <color indexed="81"/>
            <rFont val="Tahoma"/>
            <family val="2"/>
          </rPr>
          <t>Rob Squire:</t>
        </r>
        <r>
          <rPr>
            <sz val="9"/>
            <color indexed="81"/>
            <rFont val="Tahoma"/>
            <family val="2"/>
          </rPr>
          <t xml:space="preserve">
4/7/2020 Bought  40 Lockheed Martin (LMT) @ 359.01 ($14,360.40)</t>
        </r>
      </text>
    </comment>
    <comment ref="JN62" authorId="0" shapeId="0" xr:uid="{38366502-4FF6-47C5-AD13-49B799C063D4}">
      <text>
        <r>
          <rPr>
            <b/>
            <sz val="9"/>
            <color indexed="81"/>
            <rFont val="Tahoma"/>
            <family val="2"/>
          </rPr>
          <t>Rob Squire:</t>
        </r>
        <r>
          <rPr>
            <sz val="9"/>
            <color indexed="81"/>
            <rFont val="Tahoma"/>
            <family val="2"/>
          </rPr>
          <t xml:space="preserve">
4/7/2020 Bought  175 Nike (NKE) @ 85.02 ($14,878.50)</t>
        </r>
      </text>
    </comment>
    <comment ref="JQ62" authorId="0" shapeId="0" xr:uid="{3FD5D698-F6AC-4127-9750-B1E0121FD45E}">
      <text>
        <r>
          <rPr>
            <b/>
            <sz val="9"/>
            <color indexed="81"/>
            <rFont val="Tahoma"/>
            <family val="2"/>
          </rPr>
          <t>Rob Squire:</t>
        </r>
        <r>
          <rPr>
            <sz val="9"/>
            <color indexed="81"/>
            <rFont val="Tahoma"/>
            <family val="2"/>
          </rPr>
          <t xml:space="preserve">
4/14/2020 Bought 250 Oracle (ORCL) @ 54.005 ($13,501.25)</t>
        </r>
      </text>
    </comment>
    <comment ref="JR62" authorId="0" shapeId="0" xr:uid="{5EE013AE-D3FE-4790-8693-567A715989BD}">
      <text>
        <r>
          <rPr>
            <b/>
            <sz val="9"/>
            <color indexed="81"/>
            <rFont val="Tahoma"/>
            <family val="2"/>
          </rPr>
          <t>Rob Squire:</t>
        </r>
        <r>
          <rPr>
            <sz val="9"/>
            <color indexed="81"/>
            <rFont val="Tahoma"/>
            <family val="2"/>
          </rPr>
          <t xml:space="preserve">
4/13/2020 Bought 70 Procter &amp; Gamble (PG) @ 115.6997 ($8,098.98)</t>
        </r>
      </text>
    </comment>
    <comment ref="JY62" authorId="0" shapeId="0" xr:uid="{9AAD6AD1-F843-4450-99CC-AF781BFB18E3}">
      <text>
        <r>
          <rPr>
            <b/>
            <sz val="9"/>
            <color indexed="81"/>
            <rFont val="Tahoma"/>
            <family val="2"/>
          </rPr>
          <t>Rob Squire:</t>
        </r>
        <r>
          <rPr>
            <sz val="9"/>
            <color indexed="81"/>
            <rFont val="Tahoma"/>
            <family val="2"/>
          </rPr>
          <t xml:space="preserve">
4/7/2020 Bought  100 Union Pacific (UNP) @ 147.1576 ($14,715.76)</t>
        </r>
      </text>
    </comment>
    <comment ref="KA62" authorId="0" shapeId="0" xr:uid="{4960345B-11C8-4E0B-A5C5-1048D0679927}">
      <text>
        <r>
          <rPr>
            <b/>
            <sz val="9"/>
            <color indexed="81"/>
            <rFont val="Tahoma"/>
            <family val="2"/>
          </rPr>
          <t>Rob Squire:</t>
        </r>
        <r>
          <rPr>
            <sz val="9"/>
            <color indexed="81"/>
            <rFont val="Tahoma"/>
            <family val="2"/>
          </rPr>
          <t xml:space="preserve">
4/7/2020 Bought  425 US Bankcorp (USB) @ 34.91 ($14,836.85)</t>
        </r>
      </text>
    </comment>
    <comment ref="KC62" authorId="0" shapeId="0" xr:uid="{B418FF0C-D742-4561-8D38-D0868554E9F9}">
      <text>
        <r>
          <rPr>
            <b/>
            <sz val="9"/>
            <color indexed="81"/>
            <rFont val="Tahoma"/>
            <family val="2"/>
          </rPr>
          <t>Rob Squire:</t>
        </r>
        <r>
          <rPr>
            <sz val="9"/>
            <color indexed="81"/>
            <rFont val="Tahoma"/>
            <family val="2"/>
          </rPr>
          <t xml:space="preserve">
4/7/2020 Bought  90 Visa (V) @170.7704 ($15,369.34)</t>
        </r>
      </text>
    </comment>
    <comment ref="KL62" authorId="0" shapeId="0" xr:uid="{BA5DC433-4249-496A-AB28-A67D397B8AED}">
      <text>
        <r>
          <rPr>
            <b/>
            <sz val="9"/>
            <color indexed="81"/>
            <rFont val="Tahoma"/>
            <family val="2"/>
          </rPr>
          <t>Rob Squire:</t>
        </r>
        <r>
          <rPr>
            <sz val="9"/>
            <color indexed="81"/>
            <rFont val="Tahoma"/>
            <family val="2"/>
          </rPr>
          <t xml:space="preserve">
4/7/2020 Bought  175 Vanguard Real Estate (VNQ) @70.855 ($12,399.63)</t>
        </r>
      </text>
    </comment>
    <comment ref="KO62" authorId="0" shapeId="0" xr:uid="{E9C2D2B0-7067-4DEB-BD5D-5D8A5494D013}">
      <text>
        <r>
          <rPr>
            <b/>
            <sz val="9"/>
            <color indexed="81"/>
            <rFont val="Tahoma"/>
            <family val="2"/>
          </rPr>
          <t>Rob Squire:</t>
        </r>
        <r>
          <rPr>
            <sz val="9"/>
            <color indexed="81"/>
            <rFont val="Tahoma"/>
            <family val="2"/>
          </rPr>
          <t xml:space="preserve">
4/7/2020 Bought  275 Verizon (VZ) @ 57.3773 ($15,778.76)</t>
        </r>
      </text>
    </comment>
    <comment ref="KP62" authorId="0" shapeId="0" xr:uid="{7B662373-FEFA-42DA-9BC9-0E59ECF6DCBB}">
      <text>
        <r>
          <rPr>
            <b/>
            <sz val="9"/>
            <color indexed="81"/>
            <rFont val="Tahoma"/>
            <family val="2"/>
          </rPr>
          <t>Rob Squire:</t>
        </r>
        <r>
          <rPr>
            <sz val="9"/>
            <color indexed="81"/>
            <rFont val="Tahoma"/>
            <family val="2"/>
          </rPr>
          <t xml:space="preserve">
4/7/2020 Bought  12 Wells Fargo (WFCPRL) @ 1275 ($15,300.00)</t>
        </r>
      </text>
    </comment>
    <comment ref="OJ62" authorId="0" shapeId="0" xr:uid="{EF62B05B-AFB3-4443-ABC4-AD2D7A66D875}">
      <text>
        <r>
          <rPr>
            <b/>
            <sz val="9"/>
            <color indexed="81"/>
            <rFont val="Tahoma"/>
            <family val="2"/>
          </rPr>
          <t>Rob Squire:</t>
        </r>
        <r>
          <rPr>
            <sz val="9"/>
            <color indexed="81"/>
            <rFont val="Tahoma"/>
            <family val="2"/>
          </rPr>
          <t xml:space="preserve">
4/14/2020  Sold all 84.672 AMPCX @ 30.19 ($2,556.25)</t>
        </r>
      </text>
    </comment>
    <comment ref="OK62" authorId="0" shapeId="0" xr:uid="{B048984A-07B5-4D55-9791-1476554CDB8C}">
      <text>
        <r>
          <rPr>
            <b/>
            <sz val="9"/>
            <color indexed="81"/>
            <rFont val="Tahoma"/>
            <family val="2"/>
          </rPr>
          <t>Rob Squire:</t>
        </r>
        <r>
          <rPr>
            <sz val="9"/>
            <color indexed="81"/>
            <rFont val="Tahoma"/>
            <family val="2"/>
          </rPr>
          <t xml:space="preserve">
4/14/2020  Sold all 176.287 AWSHX @41.11 ($7,247.16)</t>
        </r>
      </text>
    </comment>
    <comment ref="OL62" authorId="0" shapeId="0" xr:uid="{7D15ECFC-9719-4C73-A693-FF70CD9BF727}">
      <text>
        <r>
          <rPr>
            <b/>
            <sz val="9"/>
            <color indexed="81"/>
            <rFont val="Tahoma"/>
            <family val="2"/>
          </rPr>
          <t>Rob Squire:</t>
        </r>
        <r>
          <rPr>
            <sz val="9"/>
            <color indexed="81"/>
            <rFont val="Tahoma"/>
            <family val="2"/>
          </rPr>
          <t xml:space="preserve">
4/14/2020  Sold all 225.803 CAIBX @ 55.7 ($12,577.23)</t>
        </r>
      </text>
    </comment>
    <comment ref="OM62" authorId="0" shapeId="0" xr:uid="{487F8ECC-D1C7-4ECF-A90F-AABA019ECB33}">
      <text>
        <r>
          <rPr>
            <b/>
            <sz val="9"/>
            <color indexed="81"/>
            <rFont val="Tahoma"/>
            <family val="2"/>
          </rPr>
          <t>Rob Squire:</t>
        </r>
        <r>
          <rPr>
            <sz val="9"/>
            <color indexed="81"/>
            <rFont val="Tahoma"/>
            <family val="2"/>
          </rPr>
          <t xml:space="preserve">
4/14/2020  Sold all 405.399 CWBFX @19.93 ($8,079.60)</t>
        </r>
      </text>
    </comment>
    <comment ref="ON62" authorId="0" shapeId="0" xr:uid="{08759FA2-B325-48DC-8C9C-3F84CDEA195C}">
      <text>
        <r>
          <rPr>
            <b/>
            <sz val="9"/>
            <color indexed="81"/>
            <rFont val="Tahoma"/>
            <family val="2"/>
          </rPr>
          <t>Rob Squire:</t>
        </r>
        <r>
          <rPr>
            <sz val="9"/>
            <color indexed="81"/>
            <rFont val="Tahoma"/>
            <family val="2"/>
          </rPr>
          <t xml:space="preserve">
4/14/2020  Sold all 52.056 CWGIX @ 44.46 ($2,314.41)</t>
        </r>
      </text>
    </comment>
    <comment ref="BW63" authorId="0" shapeId="0" xr:uid="{43819103-4178-4E23-A250-DED14A274F08}">
      <text>
        <r>
          <rPr>
            <b/>
            <sz val="9"/>
            <color indexed="81"/>
            <rFont val="Tahoma"/>
            <family val="2"/>
          </rPr>
          <t>Rob Squire:</t>
        </r>
        <r>
          <rPr>
            <sz val="9"/>
            <color indexed="81"/>
            <rFont val="Tahoma"/>
            <family val="2"/>
          </rPr>
          <t xml:space="preserve">
5/5/2020  Sold all 53 NFLX @ 425 ($22,524.50)</t>
        </r>
      </text>
    </comment>
    <comment ref="KY63" authorId="0" shapeId="0" xr:uid="{3EBB938F-AE5C-45A9-821D-4063285F1253}">
      <text>
        <r>
          <rPr>
            <b/>
            <sz val="9"/>
            <color indexed="81"/>
            <rFont val="Tahoma"/>
            <family val="2"/>
          </rPr>
          <t>Rob Squire:</t>
        </r>
        <r>
          <rPr>
            <sz val="9"/>
            <color indexed="81"/>
            <rFont val="Tahoma"/>
            <family val="2"/>
          </rPr>
          <t xml:space="preserve">
Mgt fee</t>
        </r>
      </text>
    </comment>
    <comment ref="OU63" authorId="0" shapeId="0" xr:uid="{454D40E1-7D85-40E4-97BD-C2419564C379}">
      <text>
        <r>
          <rPr>
            <b/>
            <sz val="9"/>
            <color indexed="81"/>
            <rFont val="Tahoma"/>
            <family val="2"/>
          </rPr>
          <t>Rob Squire:</t>
        </r>
        <r>
          <rPr>
            <sz val="9"/>
            <color indexed="81"/>
            <rFont val="Tahoma"/>
            <family val="2"/>
          </rPr>
          <t xml:space="preserve">
</t>
        </r>
      </text>
    </comment>
    <comment ref="AM64" authorId="0" shapeId="0" xr:uid="{73AFFF43-49C3-4129-ABAC-8B2A47B267AF}">
      <text>
        <r>
          <rPr>
            <b/>
            <sz val="9"/>
            <color indexed="81"/>
            <rFont val="Tahoma"/>
            <family val="2"/>
          </rPr>
          <t>Rob Squire:</t>
        </r>
        <r>
          <rPr>
            <sz val="9"/>
            <color indexed="81"/>
            <rFont val="Tahoma"/>
            <family val="2"/>
          </rPr>
          <t xml:space="preserve">
5/18/2020  Sold all 103 BABA @212.55 ($21,892.16)</t>
        </r>
      </text>
    </comment>
    <comment ref="BK64" authorId="0" shapeId="0" xr:uid="{7729B0C0-7D8C-44F3-B5F7-4C367CFD456E}">
      <text>
        <r>
          <rPr>
            <b/>
            <sz val="9"/>
            <color indexed="81"/>
            <rFont val="Tahoma"/>
            <family val="2"/>
          </rPr>
          <t>Rob Squire:</t>
        </r>
        <r>
          <rPr>
            <sz val="9"/>
            <color indexed="81"/>
            <rFont val="Tahoma"/>
            <family val="2"/>
          </rPr>
          <t xml:space="preserve">
5/18/2020  Sold all 1,023 HI @22.99 ($23,518.25)</t>
        </r>
      </text>
    </comment>
    <comment ref="BT64" authorId="0" shapeId="0" xr:uid="{4AC1BA6C-FE8A-454F-A224-A6C8346C4C6A}">
      <text>
        <r>
          <rPr>
            <b/>
            <sz val="9"/>
            <color indexed="81"/>
            <rFont val="Tahoma"/>
            <family val="2"/>
          </rPr>
          <t>Rob Squire:</t>
        </r>
        <r>
          <rPr>
            <sz val="9"/>
            <color indexed="81"/>
            <rFont val="Tahoma"/>
            <family val="2"/>
          </rPr>
          <t xml:space="preserve">
5/8/2020  Bought 544 Phillip Morris (MO @ 36.745 ($19,989.28)</t>
        </r>
      </text>
    </comment>
    <comment ref="BU64" authorId="0" shapeId="0" xr:uid="{5E8AEEAE-0F82-45B9-A6B2-C1535839EF65}">
      <text>
        <r>
          <rPr>
            <b/>
            <sz val="9"/>
            <color indexed="81"/>
            <rFont val="Tahoma"/>
            <family val="2"/>
          </rPr>
          <t>Rob Squire:</t>
        </r>
        <r>
          <rPr>
            <sz val="9"/>
            <color indexed="81"/>
            <rFont val="Tahoma"/>
            <family val="2"/>
          </rPr>
          <t xml:space="preserve">
5/8/2020  Bought 108 Microsoft (MSFT) @ 184.37 ($19,911.96)</t>
        </r>
      </text>
    </comment>
    <comment ref="CB64" authorId="0" shapeId="0" xr:uid="{493C5098-E075-49DA-890E-DD836FCD4EB1}">
      <text>
        <r>
          <rPr>
            <b/>
            <sz val="9"/>
            <color indexed="81"/>
            <rFont val="Tahoma"/>
            <family val="2"/>
          </rPr>
          <t>Rob Squire:</t>
        </r>
        <r>
          <rPr>
            <sz val="9"/>
            <color indexed="81"/>
            <rFont val="Tahoma"/>
            <family val="2"/>
          </rPr>
          <t xml:space="preserve">
5/7/2020  Bought 302 shares RTX @57.835 ($17,466.17)
Total of 600 shares with total basis of $37,318.40</t>
        </r>
      </text>
    </comment>
    <comment ref="FG64" authorId="0" shapeId="0" xr:uid="{6C5BD42B-CD62-42CB-AB2B-57A534C82C50}">
      <text>
        <r>
          <rPr>
            <b/>
            <sz val="9"/>
            <color indexed="81"/>
            <rFont val="Tahoma"/>
            <family val="2"/>
          </rPr>
          <t>Rob Squire:</t>
        </r>
        <r>
          <rPr>
            <sz val="9"/>
            <color indexed="81"/>
            <rFont val="Tahoma"/>
            <family val="2"/>
          </rPr>
          <t xml:space="preserve">
5/21/2020 Bought 20 more Costco (COST) @302.1541 ($6,043.08)
Total now 40 shares</t>
        </r>
      </text>
    </comment>
    <comment ref="GU64" authorId="0" shapeId="0" xr:uid="{1100185F-FAB1-4AF7-8C7F-2E0731B29E7F}">
      <text>
        <r>
          <rPr>
            <b/>
            <sz val="9"/>
            <color indexed="81"/>
            <rFont val="Tahoma"/>
            <family val="2"/>
          </rPr>
          <t>Rob Squire:</t>
        </r>
        <r>
          <rPr>
            <sz val="9"/>
            <color indexed="81"/>
            <rFont val="Tahoma"/>
            <family val="2"/>
          </rPr>
          <t xml:space="preserve">
5/21/2020 Sold 100 of Valero (VLO) @ 69.9144 $6,591.29
200 shares remaining</t>
        </r>
      </text>
    </comment>
    <comment ref="HB64" authorId="0" shapeId="0" xr:uid="{3CDA0541-B5BA-4FE4-A769-31206278F8CE}">
      <text>
        <r>
          <rPr>
            <b/>
            <sz val="9"/>
            <color indexed="81"/>
            <rFont val="Tahoma"/>
            <family val="2"/>
          </rPr>
          <t>Rob Squire:</t>
        </r>
        <r>
          <rPr>
            <sz val="9"/>
            <color indexed="81"/>
            <rFont val="Tahoma"/>
            <family val="2"/>
          </rPr>
          <t xml:space="preserve">
Mgt fee</t>
        </r>
      </text>
    </comment>
    <comment ref="IU65" authorId="0" shapeId="0" xr:uid="{1ECD6956-394A-42D5-B194-8E31BA6BEB85}">
      <text>
        <r>
          <rPr>
            <b/>
            <sz val="9"/>
            <color indexed="81"/>
            <rFont val="Tahoma"/>
            <family val="2"/>
          </rPr>
          <t>Rob Squire:</t>
        </r>
        <r>
          <rPr>
            <sz val="9"/>
            <color indexed="81"/>
            <rFont val="Tahoma"/>
            <family val="2"/>
          </rPr>
          <t xml:space="preserve">
6/16/2020 Sold 20 IVV @312.6563 ($6,252.99)
20 shares remaining</t>
        </r>
      </text>
    </comment>
    <comment ref="KO65" authorId="0" shapeId="0" xr:uid="{BDBFD021-953E-4392-AC2A-9EEA3C2D5B2D}">
      <text>
        <r>
          <rPr>
            <b/>
            <sz val="9"/>
            <color indexed="81"/>
            <rFont val="Tahoma"/>
            <family val="2"/>
          </rPr>
          <t>Rob Squire:</t>
        </r>
        <r>
          <rPr>
            <sz val="9"/>
            <color indexed="81"/>
            <rFont val="Tahoma"/>
            <family val="2"/>
          </rPr>
          <t xml:space="preserve">
Bought 75 VZ at 54.085 ($4,056.38)
New total is 350 shares</t>
        </r>
      </text>
    </comment>
    <comment ref="I66" authorId="0" shapeId="0" xr:uid="{AD268FAC-17C1-45AF-A78D-CE1847A439CF}">
      <text>
        <r>
          <rPr>
            <b/>
            <sz val="9"/>
            <color indexed="81"/>
            <rFont val="Tahoma"/>
            <family val="2"/>
          </rPr>
          <t>Rob Squire:</t>
        </r>
        <r>
          <rPr>
            <sz val="9"/>
            <color indexed="81"/>
            <rFont val="Tahoma"/>
            <family val="2"/>
          </rPr>
          <t xml:space="preserve">
7/1/2020  Sold all 400 IEFA @57.285 ($22,913.49)</t>
        </r>
      </text>
    </comment>
    <comment ref="J66" authorId="0" shapeId="0" xr:uid="{FF129F2C-516F-493E-9C98-5DA3EAEC42CE}">
      <text>
        <r>
          <rPr>
            <b/>
            <sz val="9"/>
            <color indexed="81"/>
            <rFont val="Tahoma"/>
            <family val="2"/>
          </rPr>
          <t>Rob Squire:</t>
        </r>
        <r>
          <rPr>
            <sz val="9"/>
            <color indexed="81"/>
            <rFont val="Tahoma"/>
            <family val="2"/>
          </rPr>
          <t xml:space="preserve">
7/1/2020  Sold all 275 IEMG @ 48.0631 ($13,217.05)</t>
        </r>
      </text>
    </comment>
    <comment ref="L66" authorId="0" shapeId="0" xr:uid="{D1D73304-C123-4C1C-8B28-E70E247224FC}">
      <text>
        <r>
          <rPr>
            <b/>
            <sz val="9"/>
            <color indexed="81"/>
            <rFont val="Tahoma"/>
            <family val="2"/>
          </rPr>
          <t>Rob Squire:</t>
        </r>
        <r>
          <rPr>
            <sz val="9"/>
            <color indexed="81"/>
            <rFont val="Tahoma"/>
            <family val="2"/>
          </rPr>
          <t xml:space="preserve">
7/1/2020  Sold all 175 JPM @93.90 ($16,432.13)</t>
        </r>
      </text>
    </comment>
    <comment ref="M66" authorId="0" shapeId="0" xr:uid="{AA6AD7C8-4D72-423F-AE82-C9908AEF5115}">
      <text>
        <r>
          <rPr>
            <b/>
            <sz val="9"/>
            <color indexed="81"/>
            <rFont val="Tahoma"/>
            <family val="2"/>
          </rPr>
          <t>Rob Squire:</t>
        </r>
        <r>
          <rPr>
            <sz val="9"/>
            <color indexed="81"/>
            <rFont val="Tahoma"/>
            <family val="2"/>
          </rPr>
          <t xml:space="preserve">
7/1/2020  Sold all 95 MSFT @204.9613 ($19,470.88)</t>
        </r>
      </text>
    </comment>
    <comment ref="T66" authorId="0" shapeId="0" xr:uid="{8FBC0F84-F649-46F6-A0EF-5212FD0454C7}">
      <text>
        <r>
          <rPr>
            <b/>
            <sz val="9"/>
            <color indexed="81"/>
            <rFont val="Tahoma"/>
            <family val="2"/>
          </rPr>
          <t>Rob Squire:</t>
        </r>
        <r>
          <rPr>
            <sz val="9"/>
            <color indexed="81"/>
            <rFont val="Tahoma"/>
            <family val="2"/>
          </rPr>
          <t xml:space="preserve">
7/1/2020  Sold all 200 VSS @96.83 ($19,365.57)</t>
        </r>
      </text>
    </comment>
    <comment ref="AH66" authorId="0" shapeId="0" xr:uid="{3643E708-EED0-4ECE-96DE-80057C8EAE69}">
      <text>
        <r>
          <rPr>
            <b/>
            <sz val="9"/>
            <color indexed="81"/>
            <rFont val="Tahoma"/>
            <family val="2"/>
          </rPr>
          <t>Rob Squire:</t>
        </r>
        <r>
          <rPr>
            <sz val="9"/>
            <color indexed="81"/>
            <rFont val="Tahoma"/>
            <family val="2"/>
          </rPr>
          <t xml:space="preserve">
7/1/2020  Sold all 60 AAPL @366.5058 ($21,989.86)</t>
        </r>
      </text>
    </comment>
    <comment ref="BE66" authorId="0" shapeId="0" xr:uid="{3E35614B-FADA-49E9-9003-1243A2C2A45D}">
      <text>
        <r>
          <rPr>
            <b/>
            <sz val="9"/>
            <color indexed="81"/>
            <rFont val="Tahoma"/>
            <family val="2"/>
          </rPr>
          <t>Rob Squire:</t>
        </r>
        <r>
          <rPr>
            <sz val="9"/>
            <color indexed="81"/>
            <rFont val="Tahoma"/>
            <family val="2"/>
          </rPr>
          <t xml:space="preserve">
7/1/2020  Sold all 12 GOOGL @1435.71 ($17,228.52</t>
        </r>
      </text>
    </comment>
    <comment ref="BN66" authorId="0" shapeId="0" xr:uid="{282185FC-08E3-46B2-B9C0-F395ADCB4BED}">
      <text>
        <r>
          <rPr>
            <b/>
            <sz val="9"/>
            <color indexed="81"/>
            <rFont val="Tahoma"/>
            <family val="2"/>
          </rPr>
          <t>Rob Squire:</t>
        </r>
        <r>
          <rPr>
            <sz val="9"/>
            <color indexed="81"/>
            <rFont val="Tahoma"/>
            <family val="2"/>
          </rPr>
          <t xml:space="preserve">
7/1/2020  Sold all 250 IJR @67.365 ($16,840.87)</t>
        </r>
      </text>
    </comment>
    <comment ref="BP66" authorId="0" shapeId="0" xr:uid="{CCC60B33-BC72-47CB-9588-B2328F0E5689}">
      <text>
        <r>
          <rPr>
            <b/>
            <sz val="9"/>
            <color indexed="81"/>
            <rFont val="Tahoma"/>
            <family val="2"/>
          </rPr>
          <t>Rob Squire:</t>
        </r>
        <r>
          <rPr>
            <sz val="9"/>
            <color indexed="81"/>
            <rFont val="Tahoma"/>
            <family val="2"/>
          </rPr>
          <t xml:space="preserve">
7/1/2020  Sold all 152 JNJ @141.0013 ($21,431.72)</t>
        </r>
      </text>
    </comment>
    <comment ref="BT66" authorId="0" shapeId="0" xr:uid="{D06FAB8A-EB90-4045-870F-24BC2AD8763B}">
      <text>
        <r>
          <rPr>
            <b/>
            <sz val="9"/>
            <color indexed="81"/>
            <rFont val="Tahoma"/>
            <family val="2"/>
          </rPr>
          <t>Rob Squire:</t>
        </r>
        <r>
          <rPr>
            <sz val="9"/>
            <color indexed="81"/>
            <rFont val="Tahoma"/>
            <family val="2"/>
          </rPr>
          <t xml:space="preserve">
7/1/2020  Sold all 544 MO @39.615 ($21,550.08)</t>
        </r>
      </text>
    </comment>
    <comment ref="BU66" authorId="0" shapeId="0" xr:uid="{417F3165-DD15-4778-A306-D9E78D84A989}">
      <text>
        <r>
          <rPr>
            <b/>
            <sz val="9"/>
            <color indexed="81"/>
            <rFont val="Tahoma"/>
            <family val="2"/>
          </rPr>
          <t>Rob Squire:</t>
        </r>
        <r>
          <rPr>
            <sz val="9"/>
            <color indexed="81"/>
            <rFont val="Tahoma"/>
            <family val="2"/>
          </rPr>
          <t xml:space="preserve">
7/1/2020  Sold all 108 MSFT @ 205.1461 ($22,155.29)</t>
        </r>
      </text>
    </comment>
    <comment ref="CB66" authorId="0" shapeId="0" xr:uid="{7DD93CE9-01A7-499F-8B56-1E1DCD51608D}">
      <text>
        <r>
          <rPr>
            <b/>
            <sz val="9"/>
            <color indexed="81"/>
            <rFont val="Tahoma"/>
            <family val="2"/>
          </rPr>
          <t>Rob Squire:</t>
        </r>
        <r>
          <rPr>
            <sz val="9"/>
            <color indexed="81"/>
            <rFont val="Tahoma"/>
            <family val="2"/>
          </rPr>
          <t xml:space="preserve">
7/1/2020  Sold all 604 RTX shares @61.64 ($37,229.73)</t>
        </r>
      </text>
    </comment>
    <comment ref="CQ66" authorId="0" shapeId="0" xr:uid="{933886DC-F509-4E5D-8A15-58D18C76DAF9}">
      <text>
        <r>
          <rPr>
            <b/>
            <sz val="9"/>
            <color indexed="81"/>
            <rFont val="Tahoma"/>
            <family val="2"/>
          </rPr>
          <t>Rob Squire:</t>
        </r>
        <r>
          <rPr>
            <sz val="9"/>
            <color indexed="81"/>
            <rFont val="Tahoma"/>
            <family val="2"/>
          </rPr>
          <t xml:space="preserve">
7/1/2020  Sold all 175 VNQ @ 79.52 ($13,915.69)</t>
        </r>
      </text>
    </comment>
    <comment ref="CU66" authorId="0" shapeId="0" xr:uid="{181163DA-93F9-4C0E-8467-B190352C65D3}">
      <text>
        <r>
          <rPr>
            <b/>
            <sz val="9"/>
            <color indexed="81"/>
            <rFont val="Tahoma"/>
            <family val="2"/>
          </rPr>
          <t>Rob Squire:</t>
        </r>
        <r>
          <rPr>
            <sz val="9"/>
            <color indexed="81"/>
            <rFont val="Tahoma"/>
            <family val="2"/>
          </rPr>
          <t xml:space="preserve">
</t>
        </r>
      </text>
    </comment>
    <comment ref="CW66" authorId="0" shapeId="0" xr:uid="{559E8189-91F9-4E50-83F2-C5FB171A0A84}">
      <text>
        <r>
          <rPr>
            <b/>
            <sz val="9"/>
            <color indexed="81"/>
            <rFont val="Tahoma"/>
            <family val="2"/>
          </rPr>
          <t>Rob Squire:</t>
        </r>
        <r>
          <rPr>
            <sz val="9"/>
            <color indexed="81"/>
            <rFont val="Tahoma"/>
            <family val="2"/>
          </rPr>
          <t xml:space="preserve">
7/1/2020  Sold all 138 ZM @257.8483 ($35,582.28)</t>
        </r>
      </text>
    </comment>
    <comment ref="ES66" authorId="0" shapeId="0" xr:uid="{CB28032F-A8F3-460A-8C3F-CD401AEAB54C}">
      <text>
        <r>
          <rPr>
            <b/>
            <sz val="9"/>
            <color indexed="81"/>
            <rFont val="Tahoma"/>
            <family val="2"/>
          </rPr>
          <t>Rob Squire:</t>
        </r>
        <r>
          <rPr>
            <sz val="9"/>
            <color indexed="81"/>
            <rFont val="Tahoma"/>
            <family val="2"/>
          </rPr>
          <t xml:space="preserve">
S&amp;P at 3106</t>
        </r>
      </text>
    </comment>
    <comment ref="FC66" authorId="0" shapeId="0" xr:uid="{CCA2261A-D3F5-4365-AD10-3D919E84030D}">
      <text>
        <r>
          <rPr>
            <b/>
            <sz val="9"/>
            <color indexed="81"/>
            <rFont val="Tahoma"/>
            <family val="2"/>
          </rPr>
          <t>Rob Squire:</t>
        </r>
        <r>
          <rPr>
            <sz val="9"/>
            <color indexed="81"/>
            <rFont val="Tahoma"/>
            <family val="2"/>
          </rPr>
          <t xml:space="preserve">
7/1/2020  Sold all 8 AMZN @ 2811.21 ($22,489.18)</t>
        </r>
      </text>
    </comment>
    <comment ref="FD66" authorId="0" shapeId="0" xr:uid="{3AD44AC9-24B4-4BCD-BC05-B477860C232C}">
      <text>
        <r>
          <rPr>
            <b/>
            <sz val="9"/>
            <color indexed="81"/>
            <rFont val="Tahoma"/>
            <family val="2"/>
          </rPr>
          <t>Rob Squire:</t>
        </r>
        <r>
          <rPr>
            <sz val="9"/>
            <color indexed="81"/>
            <rFont val="Tahoma"/>
            <family val="2"/>
          </rPr>
          <t xml:space="preserve">
7/1/2020  Sold all 75 APD @ 240.8538 ($18,063.64)</t>
        </r>
      </text>
    </comment>
    <comment ref="FE66" authorId="0" shapeId="0" xr:uid="{0FAB40EE-4983-46D0-8E0A-A30EE5EBAE67}">
      <text>
        <r>
          <rPr>
            <b/>
            <sz val="9"/>
            <color indexed="81"/>
            <rFont val="Tahoma"/>
            <family val="2"/>
          </rPr>
          <t>Rob Squire:</t>
        </r>
        <r>
          <rPr>
            <sz val="9"/>
            <color indexed="81"/>
            <rFont val="Tahoma"/>
            <family val="2"/>
          </rPr>
          <t xml:space="preserve">
7/1/2020  Sold all 350 C @50.335 ($17,616.86)</t>
        </r>
      </text>
    </comment>
    <comment ref="FF66" authorId="0" shapeId="0" xr:uid="{1114F034-C7E5-4EA6-850C-B5BA1DF18FE4}">
      <text>
        <r>
          <rPr>
            <b/>
            <sz val="9"/>
            <color indexed="81"/>
            <rFont val="Tahoma"/>
            <family val="2"/>
          </rPr>
          <t>Rob Squire:</t>
        </r>
        <r>
          <rPr>
            <sz val="9"/>
            <color indexed="81"/>
            <rFont val="Tahoma"/>
            <family val="2"/>
          </rPr>
          <t xml:space="preserve">
7/1/2020  Sold all 225 CERN @68.93 ($15,508.90)</t>
        </r>
      </text>
    </comment>
    <comment ref="FG66" authorId="0" shapeId="0" xr:uid="{8CAF47F0-21E8-4BBC-A025-AD6B0A2B66C6}">
      <text>
        <r>
          <rPr>
            <b/>
            <sz val="9"/>
            <color indexed="81"/>
            <rFont val="Tahoma"/>
            <family val="2"/>
          </rPr>
          <t>Rob Squire:</t>
        </r>
        <r>
          <rPr>
            <sz val="9"/>
            <color indexed="81"/>
            <rFont val="Tahoma"/>
            <family val="2"/>
          </rPr>
          <t xml:space="preserve">
7/1/2020  Sold all 40 COST @302.7424 ($12,109.43)</t>
        </r>
      </text>
    </comment>
    <comment ref="FT66" authorId="0" shapeId="0" xr:uid="{93CA74D7-B9CF-43E0-96CB-4E1457055A9A}">
      <text>
        <r>
          <rPr>
            <b/>
            <sz val="9"/>
            <color indexed="81"/>
            <rFont val="Tahoma"/>
            <family val="2"/>
          </rPr>
          <t>Rob Squire:</t>
        </r>
        <r>
          <rPr>
            <sz val="9"/>
            <color indexed="81"/>
            <rFont val="Tahoma"/>
            <family val="2"/>
          </rPr>
          <t xml:space="preserve">
7/1/2020  Sold all 400 IEFA @57.285 ($22,913.49)</t>
        </r>
      </text>
    </comment>
    <comment ref="FU66" authorId="0" shapeId="0" xr:uid="{330F6AD1-18B4-4DCC-8903-7E1A845121B3}">
      <text>
        <r>
          <rPr>
            <b/>
            <sz val="9"/>
            <color indexed="81"/>
            <rFont val="Tahoma"/>
            <family val="2"/>
          </rPr>
          <t>Rob Squire:</t>
        </r>
        <r>
          <rPr>
            <sz val="9"/>
            <color indexed="81"/>
            <rFont val="Tahoma"/>
            <family val="2"/>
          </rPr>
          <t xml:space="preserve">
7/1/2020  Sold all 275 IEMG @ 48.0631 ($13,217.05)</t>
        </r>
      </text>
    </comment>
    <comment ref="FV66" authorId="0" shapeId="0" xr:uid="{F1CEA344-89EF-494C-80D3-664044FC0C62}">
      <text>
        <r>
          <rPr>
            <b/>
            <sz val="9"/>
            <color indexed="81"/>
            <rFont val="Tahoma"/>
            <family val="2"/>
          </rPr>
          <t>Rob Squire:</t>
        </r>
        <r>
          <rPr>
            <sz val="9"/>
            <color indexed="81"/>
            <rFont val="Tahoma"/>
            <family val="2"/>
          </rPr>
          <t xml:space="preserve">
7/1/2020  Sold all 100 IJH @176.705 ($17,670.10)</t>
        </r>
      </text>
    </comment>
    <comment ref="FY66" authorId="0" shapeId="0" xr:uid="{0772A317-4D0C-441F-9B02-C3EAA8FF312B}">
      <text>
        <r>
          <rPr>
            <b/>
            <sz val="9"/>
            <color indexed="81"/>
            <rFont val="Tahoma"/>
            <family val="2"/>
          </rPr>
          <t>Rob Squire:</t>
        </r>
        <r>
          <rPr>
            <sz val="9"/>
            <color indexed="81"/>
            <rFont val="Tahoma"/>
            <family val="2"/>
          </rPr>
          <t xml:space="preserve">
7/1/2020  Sold all 175 JPM @93.90 ($16,432.13)</t>
        </r>
      </text>
    </comment>
    <comment ref="GC66" authorId="0" shapeId="0" xr:uid="{5A79B398-64FC-4C62-9C3A-A95AB149BA9D}">
      <text>
        <r>
          <rPr>
            <b/>
            <sz val="9"/>
            <color indexed="81"/>
            <rFont val="Tahoma"/>
            <family val="2"/>
          </rPr>
          <t>Rob Squire:</t>
        </r>
        <r>
          <rPr>
            <sz val="9"/>
            <color indexed="81"/>
            <rFont val="Tahoma"/>
            <family val="2"/>
          </rPr>
          <t xml:space="preserve">
7/1/2020  Sold all 400 MO @39.5710 ($15,828.05)</t>
        </r>
      </text>
    </comment>
    <comment ref="GD66" authorId="0" shapeId="0" xr:uid="{B3311C6B-88D9-4942-AB40-24FF39036171}">
      <text>
        <r>
          <rPr>
            <b/>
            <sz val="9"/>
            <color indexed="81"/>
            <rFont val="Tahoma"/>
            <family val="2"/>
          </rPr>
          <t>Rob Squire:</t>
        </r>
        <r>
          <rPr>
            <sz val="9"/>
            <color indexed="81"/>
            <rFont val="Tahoma"/>
            <family val="2"/>
          </rPr>
          <t xml:space="preserve">
7/1/2020  Sold all 95 MSFT @204.9613 ($19,470.88)</t>
        </r>
      </text>
    </comment>
    <comment ref="GE66" authorId="0" shapeId="0" xr:uid="{D833CE5A-72F4-45B9-AC5D-BF9B4122949B}">
      <text>
        <r>
          <rPr>
            <b/>
            <sz val="9"/>
            <color indexed="81"/>
            <rFont val="Tahoma"/>
            <family val="2"/>
          </rPr>
          <t>Rob Squire:</t>
        </r>
        <r>
          <rPr>
            <sz val="9"/>
            <color indexed="81"/>
            <rFont val="Tahoma"/>
            <family val="2"/>
          </rPr>
          <t xml:space="preserve">
7/1/2020  Sold all 150 NSRGY @111.265 ($16,689.38)</t>
        </r>
      </text>
    </comment>
    <comment ref="GK66" authorId="0" shapeId="0" xr:uid="{1DB44C32-99A0-4F41-9159-EC5057E529B1}">
      <text>
        <r>
          <rPr>
            <b/>
            <sz val="9"/>
            <color indexed="81"/>
            <rFont val="Tahoma"/>
            <family val="2"/>
          </rPr>
          <t>Rob Squire:</t>
        </r>
        <r>
          <rPr>
            <sz val="9"/>
            <color indexed="81"/>
            <rFont val="Tahoma"/>
            <family val="2"/>
          </rPr>
          <t xml:space="preserve">
7/1/2020  Sold all 625 PPL @26.115 ($16,321.51)</t>
        </r>
      </text>
    </comment>
    <comment ref="GQ66" authorId="0" shapeId="0" xr:uid="{9F4524E5-B503-41D0-8DE0-A2AA9E58C4B3}">
      <text>
        <r>
          <rPr>
            <b/>
            <sz val="9"/>
            <color indexed="81"/>
            <rFont val="Tahoma"/>
            <family val="2"/>
          </rPr>
          <t>Rob Squire:</t>
        </r>
        <r>
          <rPr>
            <sz val="9"/>
            <color indexed="81"/>
            <rFont val="Tahoma"/>
            <family val="2"/>
          </rPr>
          <t xml:space="preserve">
7/1/2020  Sold all 60 UNH @296.7634 ($17,805.40)</t>
        </r>
      </text>
    </comment>
    <comment ref="GU66" authorId="0" shapeId="0" xr:uid="{9F1CD655-5EAC-4495-89D2-DDDE58461189}">
      <text>
        <r>
          <rPr>
            <b/>
            <sz val="9"/>
            <color indexed="81"/>
            <rFont val="Tahoma"/>
            <family val="2"/>
          </rPr>
          <t>Rob Squire:</t>
        </r>
        <r>
          <rPr>
            <sz val="9"/>
            <color indexed="81"/>
            <rFont val="Tahoma"/>
            <family val="2"/>
          </rPr>
          <t xml:space="preserve">
7/1/2020  Sold all 200 VLO @57.355 ($11,470.74)</t>
        </r>
      </text>
    </comment>
    <comment ref="GV66" authorId="0" shapeId="0" xr:uid="{1574D223-DBFD-4C13-9044-BF1F2E3305B3}">
      <text>
        <r>
          <rPr>
            <b/>
            <sz val="9"/>
            <color indexed="81"/>
            <rFont val="Tahoma"/>
            <family val="2"/>
          </rPr>
          <t>Rob Squire:</t>
        </r>
        <r>
          <rPr>
            <sz val="9"/>
            <color indexed="81"/>
            <rFont val="Tahoma"/>
            <family val="2"/>
          </rPr>
          <t xml:space="preserve">
7/1/2020  Sold all 200 VSS @96.83 ($19,365.57)</t>
        </r>
      </text>
    </comment>
    <comment ref="GY66" authorId="0" shapeId="0" xr:uid="{60F3572A-FCF0-4AAA-B4C1-CC2D6DD7105C}">
      <text>
        <r>
          <rPr>
            <b/>
            <sz val="9"/>
            <color indexed="81"/>
            <rFont val="Tahoma"/>
            <family val="2"/>
          </rPr>
          <t>Rob Squire:</t>
        </r>
        <r>
          <rPr>
            <sz val="9"/>
            <color indexed="81"/>
            <rFont val="Tahoma"/>
            <family val="2"/>
          </rPr>
          <t xml:space="preserve">
7/1/2020  Sold all 175 WM @105.165 ($18,403.47)</t>
        </r>
      </text>
    </comment>
    <comment ref="HH66" authorId="0" shapeId="0" xr:uid="{9D1EF067-D8B1-4BF4-99AA-525B18322BEF}">
      <text>
        <r>
          <rPr>
            <b/>
            <sz val="9"/>
            <color indexed="81"/>
            <rFont val="Tahoma"/>
            <family val="2"/>
          </rPr>
          <t>Rob Squire:</t>
        </r>
        <r>
          <rPr>
            <sz val="9"/>
            <color indexed="81"/>
            <rFont val="Tahoma"/>
            <family val="2"/>
          </rPr>
          <t xml:space="preserve">
7/1/2020  Sold all 60 AAPL @366.5058 ($21,989.86)</t>
        </r>
      </text>
    </comment>
    <comment ref="HP66" authorId="0" shapeId="0" xr:uid="{824DFB21-6834-464C-A5BA-E19BEDDEF86D}">
      <text>
        <r>
          <rPr>
            <b/>
            <sz val="9"/>
            <color indexed="81"/>
            <rFont val="Tahoma"/>
            <family val="2"/>
          </rPr>
          <t>Rob Squire:</t>
        </r>
        <r>
          <rPr>
            <sz val="9"/>
            <color indexed="81"/>
            <rFont val="Tahoma"/>
            <family val="2"/>
          </rPr>
          <t xml:space="preserve">
7/1/2020  Sold 100 BCE @ 41.52 ($4,151.90)
7/1/2020  Sold all other 250 BCE @ 41.51 ($10,377.27)
</t>
        </r>
      </text>
    </comment>
    <comment ref="IA66" authorId="0" shapeId="0" xr:uid="{6F9DBCA7-9F99-4778-B721-7B057B056912}">
      <text>
        <r>
          <rPr>
            <b/>
            <sz val="9"/>
            <color indexed="81"/>
            <rFont val="Tahoma"/>
            <family val="2"/>
          </rPr>
          <t>Rob Squire:</t>
        </r>
        <r>
          <rPr>
            <sz val="9"/>
            <color indexed="81"/>
            <rFont val="Tahoma"/>
            <family val="2"/>
          </rPr>
          <t xml:space="preserve">
7/1/2020  Sold 100 CTSH @56.28 ($5,627.87)
7/1/2020  Sold all other 200 CTSH @56.2726 ($11,254.27)
</t>
        </r>
      </text>
    </comment>
    <comment ref="IC66" authorId="0" shapeId="0" xr:uid="{43E1F68B-96E1-4520-B897-732E42230A9A}">
      <text>
        <r>
          <rPr>
            <b/>
            <sz val="9"/>
            <color indexed="81"/>
            <rFont val="Tahoma"/>
            <family val="2"/>
          </rPr>
          <t>Rob Squire:</t>
        </r>
        <r>
          <rPr>
            <sz val="9"/>
            <color indexed="81"/>
            <rFont val="Tahoma"/>
            <family val="2"/>
          </rPr>
          <t xml:space="preserve">
7/1/2020  Sold all 175 DGX @112.8366 ($19,745.97)</t>
        </r>
      </text>
    </comment>
    <comment ref="IE66" authorId="0" shapeId="0" xr:uid="{A614EAAE-D429-4F6B-A209-33241BDFD9E9}">
      <text>
        <r>
          <rPr>
            <b/>
            <sz val="9"/>
            <color indexed="81"/>
            <rFont val="Tahoma"/>
            <family val="2"/>
          </rPr>
          <t>Rob Squire:</t>
        </r>
        <r>
          <rPr>
            <sz val="9"/>
            <color indexed="81"/>
            <rFont val="Tahoma"/>
            <family val="2"/>
          </rPr>
          <t xml:space="preserve">
7/1/2020  Sold all 140 EA @ 134.1907 ($18,786.28)</t>
        </r>
      </text>
    </comment>
    <comment ref="IH66" authorId="0" shapeId="0" xr:uid="{45A57DF3-0C01-434C-A8D9-F84142BC0892}">
      <text>
        <r>
          <rPr>
            <b/>
            <sz val="9"/>
            <color indexed="81"/>
            <rFont val="Tahoma"/>
            <family val="2"/>
          </rPr>
          <t>Rob Squire:</t>
        </r>
        <r>
          <rPr>
            <sz val="9"/>
            <color indexed="81"/>
            <rFont val="Tahoma"/>
            <family val="2"/>
          </rPr>
          <t xml:space="preserve">
7/1/2020  Sold all 85 FB @234.105 ($19,898.49)</t>
        </r>
      </text>
    </comment>
    <comment ref="IM66" authorId="0" shapeId="0" xr:uid="{7D92C284-E562-4FDA-9B4F-A17F925840EB}">
      <text>
        <r>
          <rPr>
            <b/>
            <sz val="9"/>
            <color indexed="81"/>
            <rFont val="Tahoma"/>
            <family val="2"/>
          </rPr>
          <t>Rob Squire:</t>
        </r>
        <r>
          <rPr>
            <sz val="9"/>
            <color indexed="81"/>
            <rFont val="Tahoma"/>
            <family val="2"/>
          </rPr>
          <t xml:space="preserve">
7/1/2020  Sold all 12 GOOGL @1435.71 ($17,228.52</t>
        </r>
      </text>
    </comment>
    <comment ref="IS66" authorId="0" shapeId="0" xr:uid="{C4E3EE90-45D9-4DE7-92A6-2E507518C832}">
      <text>
        <r>
          <rPr>
            <b/>
            <sz val="9"/>
            <color indexed="81"/>
            <rFont val="Tahoma"/>
            <family val="2"/>
          </rPr>
          <t>Rob Squire:</t>
        </r>
        <r>
          <rPr>
            <sz val="9"/>
            <color indexed="81"/>
            <rFont val="Tahoma"/>
            <family val="2"/>
          </rPr>
          <t xml:space="preserve">
7/1/2020  Sold all 250 IJR @67.365 ($16,840.87)</t>
        </r>
      </text>
    </comment>
    <comment ref="IU66" authorId="0" shapeId="0" xr:uid="{09A61CE7-3277-44CA-B3BC-3E2E6F2962B7}">
      <text>
        <r>
          <rPr>
            <b/>
            <sz val="9"/>
            <color indexed="81"/>
            <rFont val="Tahoma"/>
            <family val="2"/>
          </rPr>
          <t>Rob Squire:</t>
        </r>
        <r>
          <rPr>
            <sz val="9"/>
            <color indexed="81"/>
            <rFont val="Tahoma"/>
            <family val="2"/>
          </rPr>
          <t xml:space="preserve">
7/1/2020  Sold all 20 IVV @310.7758 ($6,215.38)</t>
        </r>
      </text>
    </comment>
    <comment ref="IW66" authorId="0" shapeId="0" xr:uid="{4F67FF3F-53FF-49C2-87E2-94D2B51D3638}">
      <text>
        <r>
          <rPr>
            <b/>
            <sz val="9"/>
            <color indexed="81"/>
            <rFont val="Tahoma"/>
            <family val="2"/>
          </rPr>
          <t>Rob Squire:</t>
        </r>
        <r>
          <rPr>
            <sz val="9"/>
            <color indexed="81"/>
            <rFont val="Tahoma"/>
            <family val="2"/>
          </rPr>
          <t xml:space="preserve">
7/1/2020  Sold all 110 JNJ @ 140.6871 ($15,475.23)</t>
        </r>
      </text>
    </comment>
    <comment ref="IZ66" authorId="0" shapeId="0" xr:uid="{FA0EAAF2-1204-4033-BF3B-77E77B16ADD7}">
      <text>
        <r>
          <rPr>
            <b/>
            <sz val="9"/>
            <color indexed="81"/>
            <rFont val="Tahoma"/>
            <family val="2"/>
          </rPr>
          <t>Rob Squire:</t>
        </r>
        <r>
          <rPr>
            <sz val="9"/>
            <color indexed="81"/>
            <rFont val="Tahoma"/>
            <family val="2"/>
          </rPr>
          <t xml:space="preserve">
7/1/2020  Sold 125 KO @45.0702 ($5,633.65)
7/1/2020  Sold all other 200 KO @ 45.0710 ($9,014.00)
</t>
        </r>
      </text>
    </comment>
    <comment ref="JC66" authorId="0" shapeId="0" xr:uid="{B74A621C-6EA2-45DA-B026-D707AE0202F0}">
      <text>
        <r>
          <rPr>
            <b/>
            <sz val="9"/>
            <color indexed="81"/>
            <rFont val="Tahoma"/>
            <family val="2"/>
          </rPr>
          <t>Rob Squire:</t>
        </r>
        <r>
          <rPr>
            <sz val="9"/>
            <color indexed="81"/>
            <rFont val="Tahoma"/>
            <family val="2"/>
          </rPr>
          <t xml:space="preserve">
7/1/2020  Sold all 40 LMT @ 362.1856 ($14,487.09)</t>
        </r>
      </text>
    </comment>
    <comment ref="JN66" authorId="0" shapeId="0" xr:uid="{DDA26597-E238-411B-92A9-A04E6FF2ADD4}">
      <text>
        <r>
          <rPr>
            <b/>
            <sz val="9"/>
            <color indexed="81"/>
            <rFont val="Tahoma"/>
            <family val="2"/>
          </rPr>
          <t>Rob Squire:</t>
        </r>
        <r>
          <rPr>
            <sz val="9"/>
            <color indexed="81"/>
            <rFont val="Tahoma"/>
            <family val="2"/>
          </rPr>
          <t xml:space="preserve">
7/1/2020  Sold 100 NKE @97.45 ($9,744.78)
7/1/2020  Sold all other 75 NKE @ 97.4433 ($7,308.08)
</t>
        </r>
      </text>
    </comment>
    <comment ref="JQ66" authorId="0" shapeId="0" xr:uid="{43836FBD-5786-43F2-A65C-B1DA3932E630}">
      <text>
        <r>
          <rPr>
            <b/>
            <sz val="9"/>
            <color indexed="81"/>
            <rFont val="Tahoma"/>
            <family val="2"/>
          </rPr>
          <t>Rob Squire:</t>
        </r>
        <r>
          <rPr>
            <sz val="9"/>
            <color indexed="81"/>
            <rFont val="Tahoma"/>
            <family val="2"/>
          </rPr>
          <t xml:space="preserve">
7/1/2020  Sold 150 ORCL @ 54.9628 ($8,244.23)
7/1/2020  Sold all other 100 ORCL @ 54.962 ($5,496.07)
</t>
        </r>
      </text>
    </comment>
    <comment ref="JR66" authorId="0" shapeId="0" xr:uid="{A4BCB3A3-CA49-45F7-A206-124C8F594D20}">
      <text>
        <r>
          <rPr>
            <b/>
            <sz val="9"/>
            <color indexed="81"/>
            <rFont val="Tahoma"/>
            <family val="2"/>
          </rPr>
          <t>Rob Squire:</t>
        </r>
        <r>
          <rPr>
            <sz val="9"/>
            <color indexed="81"/>
            <rFont val="Tahoma"/>
            <family val="2"/>
          </rPr>
          <t xml:space="preserve">
7/1/2020  Sold all 70 PG @119.4925 ($8,364.29)</t>
        </r>
      </text>
    </comment>
    <comment ref="JY66" authorId="0" shapeId="0" xr:uid="{A91F75D8-4690-486A-BBCD-70759FDCFC1E}">
      <text>
        <r>
          <rPr>
            <b/>
            <sz val="9"/>
            <color indexed="81"/>
            <rFont val="Tahoma"/>
            <family val="2"/>
          </rPr>
          <t>Rob Squire:</t>
        </r>
        <r>
          <rPr>
            <sz val="9"/>
            <color indexed="81"/>
            <rFont val="Tahoma"/>
            <family val="2"/>
          </rPr>
          <t xml:space="preserve">
7/1/2020  Sold all 100 UNP @ 166.38 ($16,637.63)</t>
        </r>
      </text>
    </comment>
    <comment ref="KA66" authorId="0" shapeId="0" xr:uid="{6A496811-DA50-4A5A-A03E-CA0101B6F271}">
      <text>
        <r>
          <rPr>
            <b/>
            <sz val="9"/>
            <color indexed="81"/>
            <rFont val="Tahoma"/>
            <family val="2"/>
          </rPr>
          <t>Rob Squire:</t>
        </r>
        <r>
          <rPr>
            <sz val="9"/>
            <color indexed="81"/>
            <rFont val="Tahoma"/>
            <family val="2"/>
          </rPr>
          <t xml:space="preserve">
7/1/2020  Sold all 425 USB @ 36.1817 ($15,376.88)</t>
        </r>
      </text>
    </comment>
    <comment ref="KC66" authorId="0" shapeId="0" xr:uid="{22B19D12-7895-44B5-871C-2384C9070924}">
      <text>
        <r>
          <rPr>
            <b/>
            <sz val="9"/>
            <color indexed="81"/>
            <rFont val="Tahoma"/>
            <family val="2"/>
          </rPr>
          <t>Rob Squire:</t>
        </r>
        <r>
          <rPr>
            <sz val="9"/>
            <color indexed="81"/>
            <rFont val="Tahoma"/>
            <family val="2"/>
          </rPr>
          <t xml:space="preserve">
7/1/2020  Sold all 90 V @ 193.8409 ($17,445.29)</t>
        </r>
      </text>
    </comment>
    <comment ref="KL66" authorId="0" shapeId="0" xr:uid="{0D67C0B5-4FC7-40F0-B468-74DCD67629E3}">
      <text>
        <r>
          <rPr>
            <b/>
            <sz val="9"/>
            <color indexed="81"/>
            <rFont val="Tahoma"/>
            <family val="2"/>
          </rPr>
          <t>Rob Squire:</t>
        </r>
        <r>
          <rPr>
            <sz val="9"/>
            <color indexed="81"/>
            <rFont val="Tahoma"/>
            <family val="2"/>
          </rPr>
          <t xml:space="preserve">
7/1/2020  Sold all 175 VNQ @ 79.52 ($13,915.69)</t>
        </r>
      </text>
    </comment>
    <comment ref="KO66" authorId="0" shapeId="0" xr:uid="{AAC8D84A-8C17-4458-8027-870D254684B7}">
      <text>
        <r>
          <rPr>
            <b/>
            <sz val="9"/>
            <color indexed="81"/>
            <rFont val="Tahoma"/>
            <family val="2"/>
          </rPr>
          <t>Rob Squire:</t>
        </r>
        <r>
          <rPr>
            <sz val="9"/>
            <color indexed="81"/>
            <rFont val="Tahoma"/>
            <family val="2"/>
          </rPr>
          <t xml:space="preserve">
7/1/2020  Sold all 350 VZ @ 54.80 ($19,179.57)</t>
        </r>
      </text>
    </comment>
    <comment ref="KP66" authorId="0" shapeId="0" xr:uid="{C3B24B0C-EE7B-429E-8E05-C1BADBF127E5}">
      <text>
        <r>
          <rPr>
            <b/>
            <sz val="9"/>
            <color indexed="81"/>
            <rFont val="Tahoma"/>
            <family val="2"/>
          </rPr>
          <t>Rob Squire:</t>
        </r>
        <r>
          <rPr>
            <sz val="9"/>
            <color indexed="81"/>
            <rFont val="Tahoma"/>
            <family val="2"/>
          </rPr>
          <t xml:space="preserve">
</t>
        </r>
      </text>
    </comment>
    <comment ref="HB67" authorId="0" shapeId="0" xr:uid="{F355C115-90FE-441C-B544-B66EC52C9337}">
      <text>
        <r>
          <rPr>
            <b/>
            <sz val="9"/>
            <color indexed="81"/>
            <rFont val="Tahoma"/>
            <family val="2"/>
          </rPr>
          <t>Rob Squire:</t>
        </r>
        <r>
          <rPr>
            <sz val="9"/>
            <color indexed="81"/>
            <rFont val="Tahoma"/>
            <family val="2"/>
          </rPr>
          <t xml:space="preserve">
Advisory fee</t>
        </r>
      </text>
    </comment>
    <comment ref="KY67" authorId="0" shapeId="0" xr:uid="{827AA66B-1615-4D03-9F9C-A667BB92FD6C}">
      <text>
        <r>
          <rPr>
            <b/>
            <sz val="9"/>
            <color indexed="81"/>
            <rFont val="Tahoma"/>
            <family val="2"/>
          </rPr>
          <t>Rob Squire:</t>
        </r>
        <r>
          <rPr>
            <sz val="9"/>
            <color indexed="81"/>
            <rFont val="Tahoma"/>
            <family val="2"/>
          </rPr>
          <t xml:space="preserve">
Advisory fee</t>
        </r>
      </text>
    </comment>
    <comment ref="AD68" authorId="0" shapeId="0" xr:uid="{AC7360AA-CB48-4D41-B359-288594718A53}">
      <text>
        <r>
          <rPr>
            <b/>
            <sz val="9"/>
            <color indexed="81"/>
            <rFont val="Tahoma"/>
            <family val="2"/>
          </rPr>
          <t>Rob Squire:</t>
        </r>
        <r>
          <rPr>
            <sz val="9"/>
            <color indexed="81"/>
            <rFont val="Tahoma"/>
            <family val="2"/>
          </rPr>
          <t xml:space="preserve">
Total investment of UAL, DAL and NCLH was $75,164</t>
        </r>
      </text>
    </comment>
    <comment ref="AT68" authorId="0" shapeId="0" xr:uid="{B88A6795-B182-42C2-9EB8-2833E7A03007}">
      <text>
        <r>
          <rPr>
            <b/>
            <sz val="9"/>
            <color indexed="81"/>
            <rFont val="Tahoma"/>
            <family val="2"/>
          </rPr>
          <t>Rob Squire:</t>
        </r>
        <r>
          <rPr>
            <sz val="9"/>
            <color indexed="81"/>
            <rFont val="Tahoma"/>
            <family val="2"/>
          </rPr>
          <t xml:space="preserve">
9/3/2020 Bought 800 Delta Airlines (DAL) @31.345 ($25,076.00)
Totall of 800 shares
Cost basis is 31.345 ($25,076.00)</t>
        </r>
      </text>
    </comment>
    <comment ref="BV68" authorId="0" shapeId="0" xr:uid="{CE08FA0B-C010-46A8-92BC-341CD14F519A}">
      <text>
        <r>
          <rPr>
            <b/>
            <sz val="9"/>
            <color indexed="81"/>
            <rFont val="Tahoma"/>
            <family val="2"/>
          </rPr>
          <t>Rob Squire:</t>
        </r>
        <r>
          <rPr>
            <sz val="9"/>
            <color indexed="81"/>
            <rFont val="Tahoma"/>
            <family val="2"/>
          </rPr>
          <t xml:space="preserve">
9/4/2020 Bought 1,375 Norwegian Cruise Lines (NCLH), 950 @ 18.2242 ($17,312.99) and 425 @18.23 ($7,747.75) – Taverage cost basis is 18.226 ($25,060.74)</t>
        </r>
      </text>
    </comment>
    <comment ref="CF68" authorId="0" shapeId="0" xr:uid="{9D36141B-1AC0-40E0-B330-55054A9624A0}">
      <text>
        <r>
          <rPr>
            <b/>
            <sz val="9"/>
            <color indexed="81"/>
            <rFont val="Tahoma"/>
            <family val="2"/>
          </rPr>
          <t>Rob Squire:</t>
        </r>
        <r>
          <rPr>
            <sz val="9"/>
            <color indexed="81"/>
            <rFont val="Tahoma"/>
            <family val="2"/>
          </rPr>
          <t xml:space="preserve">
9/3/2020 Bought 668 United Airlines (UAL) @ 37.465 ($25,026.62)
Total of 668 shares
Cost basis is 37.465 ($25,026.62)</t>
        </r>
      </text>
    </comment>
    <comment ref="I71" authorId="0" shapeId="0" xr:uid="{2814B82B-E06F-4E7C-87DE-D9D69E24DAE9}">
      <text>
        <r>
          <rPr>
            <b/>
            <sz val="9"/>
            <color indexed="81"/>
            <rFont val="Tahoma"/>
            <family val="2"/>
          </rPr>
          <t>Rob Squire:</t>
        </r>
        <r>
          <rPr>
            <sz val="9"/>
            <color indexed="81"/>
            <rFont val="Tahoma"/>
            <family val="2"/>
          </rPr>
          <t xml:space="preserve">
11/9/2020 MCSI EAFE ITF IEFA – Bought 325 @ 64.6719 ($21,018.37)
Total of 325 shares
Cost basis is 64.67 for total of $21,018.37</t>
        </r>
      </text>
    </comment>
    <comment ref="J71" authorId="0" shapeId="0" xr:uid="{76BE202A-30E9-4F66-A1C4-FCA2697F22EF}">
      <text>
        <r>
          <rPr>
            <b/>
            <sz val="9"/>
            <color indexed="81"/>
            <rFont val="Tahoma"/>
            <family val="2"/>
          </rPr>
          <t>Rob Squire:</t>
        </r>
        <r>
          <rPr>
            <sz val="9"/>
            <color indexed="81"/>
            <rFont val="Tahoma"/>
            <family val="2"/>
          </rPr>
          <t xml:space="preserve">
11/9/2020 MCSI Emerging mkts IEMG – Bought 300 @ 57.9750 ($17,392.50)
Total of 300 shares
Cost basis is 57.98 or total of $17,392.50</t>
        </r>
      </text>
    </comment>
    <comment ref="K71" authorId="0" shapeId="0" xr:uid="{73322D12-DBE5-4F23-8049-8377DFF6DD98}">
      <text>
        <r>
          <rPr>
            <b/>
            <sz val="9"/>
            <color indexed="81"/>
            <rFont val="Tahoma"/>
            <family val="2"/>
          </rPr>
          <t>Rob Squire:</t>
        </r>
        <r>
          <rPr>
            <sz val="9"/>
            <color indexed="81"/>
            <rFont val="Tahoma"/>
            <family val="2"/>
          </rPr>
          <t xml:space="preserve">
11/9/2020 Smallcap index fund IJR – bought 215 @ 80.6815 ($17,346.52)</t>
        </r>
      </text>
    </comment>
    <comment ref="L71" authorId="0" shapeId="0" xr:uid="{988EB5FB-18D9-49BB-BBE7-BE39029CEB23}">
      <text>
        <r>
          <rPr>
            <b/>
            <sz val="9"/>
            <color indexed="81"/>
            <rFont val="Tahoma"/>
            <family val="2"/>
          </rPr>
          <t>Rob Squire:</t>
        </r>
        <r>
          <rPr>
            <sz val="9"/>
            <color indexed="81"/>
            <rFont val="Tahoma"/>
            <family val="2"/>
          </rPr>
          <t xml:space="preserve">
11/9/2020 JP Morgan JPM – bought 150 @ 117.93 ($17,689.50)
11/23/2020 JP Morgan JPM – bought 25 more shares @115.2835 ($2,882.09) to increase exposure to Financials  
Total of 175 shares
Cost basis is 117.55 ($20,571.59)</t>
        </r>
      </text>
    </comment>
    <comment ref="M71" authorId="0" shapeId="0" xr:uid="{6B556C3D-0E1F-4F61-9A4B-29F9551C6C56}">
      <text>
        <r>
          <rPr>
            <b/>
            <sz val="9"/>
            <color indexed="81"/>
            <rFont val="Tahoma"/>
            <family val="2"/>
          </rPr>
          <t>Rob Squire:</t>
        </r>
        <r>
          <rPr>
            <sz val="9"/>
            <color indexed="81"/>
            <rFont val="Tahoma"/>
            <family val="2"/>
          </rPr>
          <t xml:space="preserve">
11/9/2020 Microsoft MSFT – Bought 80 @ 221.05 ($17,684.00)
Total of 80 shares
Cost basis is 221.05 ($17,684.00)</t>
        </r>
      </text>
    </comment>
    <comment ref="AL71" authorId="0" shapeId="0" xr:uid="{2B4E6C25-AC87-435F-975B-07CF87222CEF}">
      <text>
        <r>
          <rPr>
            <b/>
            <sz val="9"/>
            <color indexed="81"/>
            <rFont val="Tahoma"/>
            <family val="2"/>
          </rPr>
          <t>Rob Squire:</t>
        </r>
        <r>
          <rPr>
            <sz val="9"/>
            <color indexed="81"/>
            <rFont val="Tahoma"/>
            <family val="2"/>
          </rPr>
          <t xml:space="preserve">
11/9/2020 Autozone AZO – bought 15 @ 1164.1974 ($17,462.96)
Total is 15 shares
Cost basis is 1164.1974 ($17,462.96)</t>
        </r>
      </text>
    </comment>
    <comment ref="AS71" authorId="0" shapeId="0" xr:uid="{CB2BAC06-1443-4CC3-9AB5-707EB2D4CA91}">
      <text>
        <r>
          <rPr>
            <b/>
            <sz val="9"/>
            <color indexed="81"/>
            <rFont val="Tahoma"/>
            <family val="2"/>
          </rPr>
          <t>Rob Squire:</t>
        </r>
        <r>
          <rPr>
            <sz val="9"/>
            <color indexed="81"/>
            <rFont val="Tahoma"/>
            <family val="2"/>
          </rPr>
          <t xml:space="preserve">
11/30/2020 Bought 400 CWB @78.02 ($31,208.00)</t>
        </r>
      </text>
    </comment>
    <comment ref="AY71" authorId="0" shapeId="0" xr:uid="{7BDBF3F0-BA42-4DBE-9E38-4DB53A01F911}">
      <text>
        <r>
          <rPr>
            <b/>
            <sz val="9"/>
            <color indexed="81"/>
            <rFont val="Tahoma"/>
            <family val="2"/>
          </rPr>
          <t>Rob Squire:</t>
        </r>
        <r>
          <rPr>
            <sz val="9"/>
            <color indexed="81"/>
            <rFont val="Tahoma"/>
            <family val="2"/>
          </rPr>
          <t xml:space="preserve">
11/30/2020 Bought 7,352.941 FSHBX @8.84 ($65,000.00)</t>
        </r>
      </text>
    </comment>
    <comment ref="BE71" authorId="0" shapeId="0" xr:uid="{D2AE8B12-79A3-4E5A-862C-95EEDCFFCCED}">
      <text>
        <r>
          <rPr>
            <b/>
            <sz val="9"/>
            <color indexed="81"/>
            <rFont val="Tahoma"/>
            <family val="2"/>
          </rPr>
          <t>Rob Squire:</t>
        </r>
        <r>
          <rPr>
            <sz val="9"/>
            <color indexed="81"/>
            <rFont val="Tahoma"/>
            <family val="2"/>
          </rPr>
          <t xml:space="preserve">
11/9/2020 Google GOOGL Bought 10 @ 1780.145 ($17,801.45)
Total is 10 shares
Cost basis is 1780.145 ($17,801.45)</t>
        </r>
      </text>
    </comment>
    <comment ref="BJ71" authorId="0" shapeId="0" xr:uid="{02A6D861-6493-4CB4-9689-7238B4082E7A}">
      <text>
        <r>
          <rPr>
            <b/>
            <sz val="9"/>
            <color indexed="81"/>
            <rFont val="Tahoma"/>
            <family val="2"/>
          </rPr>
          <t>Rob Squire:</t>
        </r>
        <r>
          <rPr>
            <sz val="9"/>
            <color indexed="81"/>
            <rFont val="Tahoma"/>
            <family val="2"/>
          </rPr>
          <t xml:space="preserve">
11/9/2020 Home Depot HD – Bought 60 @ 273.455 ($16,407.30)
Total is 60 shares
Cost basis is 273.455 ($16,407.30)</t>
        </r>
      </text>
    </comment>
    <comment ref="BL71" authorId="0" shapeId="0" xr:uid="{6E1B352A-857F-47A4-95BF-9884D809D2FC}">
      <text>
        <r>
          <rPr>
            <b/>
            <sz val="9"/>
            <color indexed="81"/>
            <rFont val="Tahoma"/>
            <family val="2"/>
          </rPr>
          <t>Rob Squire:</t>
        </r>
        <r>
          <rPr>
            <sz val="9"/>
            <color indexed="81"/>
            <rFont val="Tahoma"/>
            <family val="2"/>
          </rPr>
          <t xml:space="preserve">
11/30/2020 Bought 300 ICVT. 200 @92.62 ($18,524.00) plus 100 @92.705 ($9,270.50).  
Total was 300 shares at average of 92.6483 ($27,794.50)</t>
        </r>
      </text>
    </comment>
    <comment ref="CD71" authorId="0" shapeId="0" xr:uid="{5654BC22-9143-41D0-997A-9DD4F8F52CA4}">
      <text>
        <r>
          <rPr>
            <b/>
            <sz val="9"/>
            <color indexed="81"/>
            <rFont val="Tahoma"/>
            <family val="2"/>
          </rPr>
          <t>Rob Squire:</t>
        </r>
        <r>
          <rPr>
            <sz val="9"/>
            <color indexed="81"/>
            <rFont val="Tahoma"/>
            <family val="2"/>
          </rPr>
          <t xml:space="preserve">
11/30/2020 Bought 18,664.047 TRBUX @5.09 ($95,000) </t>
        </r>
      </text>
    </comment>
    <comment ref="CH71" authorId="0" shapeId="0" xr:uid="{3DE9FF66-191B-4686-BEE1-C5653F26D6B7}">
      <text>
        <r>
          <rPr>
            <b/>
            <sz val="9"/>
            <color indexed="81"/>
            <rFont val="Tahoma"/>
            <family val="2"/>
          </rPr>
          <t>Rob Squire:</t>
        </r>
        <r>
          <rPr>
            <sz val="9"/>
            <color indexed="81"/>
            <rFont val="Tahoma"/>
            <family val="2"/>
          </rPr>
          <t xml:space="preserve">
11/9/2020 United Healthgroup UNH – Bought 40 @ 353.8459 ($14,153.84)
Total is 40 shares
Cost basis is 353.8459 ($14,153.84)</t>
        </r>
      </text>
    </comment>
    <comment ref="CQ71" authorId="0" shapeId="0" xr:uid="{1B061786-EDAE-43F4-AD4A-F6D71C3616EF}">
      <text>
        <r>
          <rPr>
            <b/>
            <sz val="9"/>
            <color indexed="81"/>
            <rFont val="Tahoma"/>
            <family val="2"/>
          </rPr>
          <t>Rob Squire:</t>
        </r>
        <r>
          <rPr>
            <sz val="9"/>
            <color indexed="81"/>
            <rFont val="Tahoma"/>
            <family val="2"/>
          </rPr>
          <t xml:space="preserve">
11/9/2020 Vanguard Real Estate ETF VNQ – Bought 150 @ 83.3814 ($12,507.21)
Total of 150 shares
Cost basis is 83.3814 ($12,507.21)</t>
        </r>
      </text>
    </comment>
    <comment ref="CU71" authorId="0" shapeId="0" xr:uid="{0EBFFFAF-4491-457F-B4A7-5BFE9063D66B}">
      <text>
        <r>
          <rPr>
            <b/>
            <sz val="9"/>
            <color indexed="81"/>
            <rFont val="Tahoma"/>
            <family val="2"/>
          </rPr>
          <t>Rob Squire:</t>
        </r>
        <r>
          <rPr>
            <sz val="9"/>
            <color indexed="81"/>
            <rFont val="Tahoma"/>
            <family val="2"/>
          </rPr>
          <t xml:space="preserve">
11/9/2020 Wells Fargo WFCPRL – Bought 10 @ 1396.480 ($13,964.80)
Total is 10 shares
Cost basis is 1396.480 ($13,964.80)</t>
        </r>
      </text>
    </comment>
    <comment ref="ES71" authorId="0" shapeId="0" xr:uid="{80BE2C73-4D56-476F-BC30-0C6DAC3333C4}">
      <text>
        <r>
          <rPr>
            <b/>
            <sz val="9"/>
            <color indexed="81"/>
            <rFont val="Tahoma"/>
            <family val="2"/>
          </rPr>
          <t>Rob Squire:</t>
        </r>
        <r>
          <rPr>
            <sz val="9"/>
            <color indexed="81"/>
            <rFont val="Tahoma"/>
            <family val="2"/>
          </rPr>
          <t xml:space="preserve">
11/9/20 Got back in mkt</t>
        </r>
      </text>
    </comment>
    <comment ref="FC71" authorId="0" shapeId="0" xr:uid="{122CA64E-5639-4B67-965C-F00D942BA88D}">
      <text>
        <r>
          <rPr>
            <b/>
            <sz val="9"/>
            <color indexed="81"/>
            <rFont val="Tahoma"/>
            <family val="2"/>
          </rPr>
          <t>Rob Squire:</t>
        </r>
        <r>
          <rPr>
            <sz val="9"/>
            <color indexed="81"/>
            <rFont val="Tahoma"/>
            <family val="2"/>
          </rPr>
          <t xml:space="preserve">
11/9/2020 Amazon AMZN – Bought 5 @3169.902 ($15,849.51)
Total of 5 shares
Cost basis is 3,169.9   or total of $15,849.51</t>
        </r>
      </text>
    </comment>
    <comment ref="FG71" authorId="0" shapeId="0" xr:uid="{187CB1DE-017C-4B3E-A520-5246000F0B29}">
      <text>
        <r>
          <rPr>
            <b/>
            <sz val="9"/>
            <color indexed="81"/>
            <rFont val="Tahoma"/>
            <family val="2"/>
          </rPr>
          <t>Rob Squire:</t>
        </r>
        <r>
          <rPr>
            <sz val="9"/>
            <color indexed="81"/>
            <rFont val="Tahoma"/>
            <family val="2"/>
          </rPr>
          <t xml:space="preserve">
11/9/2020 Costco COST – bought 45 @369.9399 ($16,647.30)</t>
        </r>
      </text>
    </comment>
    <comment ref="FO71" authorId="0" shapeId="0" xr:uid="{7FA0CD14-AA3B-45B7-8296-7676F4DF6FEA}">
      <text>
        <r>
          <rPr>
            <b/>
            <sz val="9"/>
            <color indexed="81"/>
            <rFont val="Tahoma"/>
            <family val="2"/>
          </rPr>
          <t>Rob Squire:</t>
        </r>
        <r>
          <rPr>
            <sz val="9"/>
            <color indexed="81"/>
            <rFont val="Tahoma"/>
            <family val="2"/>
          </rPr>
          <t xml:space="preserve">
11/9/2020 Facebook FB – Bought 60 @ 281.76 ($16,905.60)</t>
        </r>
      </text>
    </comment>
    <comment ref="FQ71" authorId="0" shapeId="0" xr:uid="{D936F9E3-EB32-462B-9AA9-6005E896270F}">
      <text>
        <r>
          <rPr>
            <b/>
            <sz val="9"/>
            <color indexed="81"/>
            <rFont val="Tahoma"/>
            <family val="2"/>
          </rPr>
          <t>Rob Squire:</t>
        </r>
        <r>
          <rPr>
            <sz val="9"/>
            <color indexed="81"/>
            <rFont val="Tahoma"/>
            <family val="2"/>
          </rPr>
          <t xml:space="preserve">
11/9/2020 General Dynamics GD – Bought 120 @ 148.7316 ($17,847.79)</t>
        </r>
      </text>
    </comment>
    <comment ref="FT71" authorId="0" shapeId="0" xr:uid="{442388C5-6C88-489E-ABCB-2750DFBB182D}">
      <text>
        <r>
          <rPr>
            <b/>
            <sz val="9"/>
            <color indexed="81"/>
            <rFont val="Tahoma"/>
            <family val="2"/>
          </rPr>
          <t>Rob Squire:</t>
        </r>
        <r>
          <rPr>
            <sz val="9"/>
            <color indexed="81"/>
            <rFont val="Tahoma"/>
            <family val="2"/>
          </rPr>
          <t xml:space="preserve">
11/9/2020 MCSI EAFE ITF IEFA – Bought 325 @ 64.6719 ($21,018.37)
Total of 325 shares
Cost basis is 64.67 for total of $21,018.37</t>
        </r>
      </text>
    </comment>
    <comment ref="FU71" authorId="0" shapeId="0" xr:uid="{CB81CFE2-D1DF-40B6-A0D4-2AC6A09E3A1B}">
      <text>
        <r>
          <rPr>
            <b/>
            <sz val="9"/>
            <color indexed="81"/>
            <rFont val="Tahoma"/>
            <family val="2"/>
          </rPr>
          <t>Rob Squire:</t>
        </r>
        <r>
          <rPr>
            <sz val="9"/>
            <color indexed="81"/>
            <rFont val="Tahoma"/>
            <family val="2"/>
          </rPr>
          <t xml:space="preserve">
11/9/2020 MCSI Emerging mkts IEMG – Bought 300 @ 57.9750 ($17,392.50)
Total of 300 shares
Cost basis is 57.98 or total of $17,392.50</t>
        </r>
      </text>
    </comment>
    <comment ref="FV71" authorId="0" shapeId="0" xr:uid="{14ED06DB-D9B9-406D-8D01-5D660DB9F8C4}">
      <text>
        <r>
          <rPr>
            <b/>
            <sz val="9"/>
            <color indexed="81"/>
            <rFont val="Tahoma"/>
            <family val="2"/>
          </rPr>
          <t>Rob Squire:</t>
        </r>
        <r>
          <rPr>
            <sz val="9"/>
            <color indexed="81"/>
            <rFont val="Tahoma"/>
            <family val="2"/>
          </rPr>
          <t xml:space="preserve">
11/9/2020 Midcap 400 index fund IJH – Bought 85 @ 209.69 ($17,823.65)
Total of 85 shares
Cost basis is 209.69 or total of $17,823.65</t>
        </r>
      </text>
    </comment>
    <comment ref="FW71" authorId="0" shapeId="0" xr:uid="{0CFBE976-3DEE-486F-A8C1-1CFFBEDD7578}">
      <text>
        <r>
          <rPr>
            <b/>
            <sz val="9"/>
            <color indexed="81"/>
            <rFont val="Tahoma"/>
            <family val="2"/>
          </rPr>
          <t>Rob Squire:</t>
        </r>
        <r>
          <rPr>
            <sz val="9"/>
            <color indexed="81"/>
            <rFont val="Tahoma"/>
            <family val="2"/>
          </rPr>
          <t xml:space="preserve">
11/9/2020 Smallcap index fund IJR – bought 215 @ 80.6815 ($17,346.52)</t>
        </r>
      </text>
    </comment>
    <comment ref="FX71" authorId="0" shapeId="0" xr:uid="{35F5717D-309D-4BEF-B668-AB3D5B3E8C5A}">
      <text>
        <r>
          <rPr>
            <b/>
            <sz val="9"/>
            <color indexed="81"/>
            <rFont val="Tahoma"/>
            <family val="2"/>
          </rPr>
          <t>Rob Squire:</t>
        </r>
        <r>
          <rPr>
            <sz val="9"/>
            <color indexed="81"/>
            <rFont val="Tahoma"/>
            <family val="2"/>
          </rPr>
          <t xml:space="preserve">
11/9/2020 JP Morgan Ex Trded Fnd JPIN– bought 125 @ 54.8018 ($6,850.23)
Total of 125 shares
Cost basis is 54.8018 or $6,850.23</t>
        </r>
      </text>
    </comment>
    <comment ref="FY71" authorId="0" shapeId="0" xr:uid="{B3140ED9-DA13-4297-AE5E-597FE33BC951}">
      <text>
        <r>
          <rPr>
            <b/>
            <sz val="9"/>
            <color indexed="81"/>
            <rFont val="Tahoma"/>
            <family val="2"/>
          </rPr>
          <t>Rob Squire:</t>
        </r>
        <r>
          <rPr>
            <sz val="9"/>
            <color indexed="81"/>
            <rFont val="Tahoma"/>
            <family val="2"/>
          </rPr>
          <t xml:space="preserve">
11/9/2020 JP Morgan JPM – bought 150 @ 117.93 ($17,689.50)
11/23/2020 JP Morgan JPM – bought 25 more shares @115.2835 ($2,882.09) to increase exposure to Financials  
Total of 175 shares
Cost basis is 117.55 ($20,571.59)</t>
        </r>
      </text>
    </comment>
    <comment ref="GD71" authorId="0" shapeId="0" xr:uid="{F622983A-3CAA-493C-95C1-61AE66C13413}">
      <text>
        <r>
          <rPr>
            <b/>
            <sz val="9"/>
            <color indexed="81"/>
            <rFont val="Tahoma"/>
            <family val="2"/>
          </rPr>
          <t>Rob Squire:</t>
        </r>
        <r>
          <rPr>
            <sz val="9"/>
            <color indexed="81"/>
            <rFont val="Tahoma"/>
            <family val="2"/>
          </rPr>
          <t xml:space="preserve">
11/9/2020 Microsoft MSFT – Bought 80 @ 221.05 ($17,684.00)
Total of 80 shares
Cost basis is 221.05 ($17,684.00)</t>
        </r>
      </text>
    </comment>
    <comment ref="GE71" authorId="0" shapeId="0" xr:uid="{237E0304-2DA7-4786-9C1D-1B8148B6511B}">
      <text>
        <r>
          <rPr>
            <b/>
            <sz val="9"/>
            <color indexed="81"/>
            <rFont val="Tahoma"/>
            <family val="2"/>
          </rPr>
          <t>Rob Squire:</t>
        </r>
        <r>
          <rPr>
            <sz val="9"/>
            <color indexed="81"/>
            <rFont val="Tahoma"/>
            <family val="2"/>
          </rPr>
          <t xml:space="preserve">
11/9/2020 Nestle NSRGY – Bought 150 @ 115.175 ($17,276.25)
Total is 150 shares
Cost basis is 115.175 ($17,276.25)</t>
        </r>
      </text>
    </comment>
    <comment ref="GF71" authorId="0" shapeId="0" xr:uid="{F7ECAC46-9AFD-4F3F-98D5-2FDC09E0B81B}">
      <text>
        <r>
          <rPr>
            <b/>
            <sz val="9"/>
            <color indexed="81"/>
            <rFont val="Tahoma"/>
            <family val="2"/>
          </rPr>
          <t>Rob Squire:</t>
        </r>
        <r>
          <rPr>
            <sz val="9"/>
            <color indexed="81"/>
            <rFont val="Tahoma"/>
            <family val="2"/>
          </rPr>
          <t xml:space="preserve">
11/9/2020 Oracle ORCL – Bought 300 @ 57.3016 ($17,190.48)
Total of 300 shares
Cost basis is 57.3016 ($17,190.48)</t>
        </r>
      </text>
    </comment>
    <comment ref="GH71" authorId="0" shapeId="0" xr:uid="{C2C6EEA1-02C2-4504-B2DF-BE527EEE3E68}">
      <text>
        <r>
          <rPr>
            <b/>
            <sz val="9"/>
            <color indexed="81"/>
            <rFont val="Tahoma"/>
            <family val="2"/>
          </rPr>
          <t>Rob Squire:</t>
        </r>
        <r>
          <rPr>
            <sz val="9"/>
            <color indexed="81"/>
            <rFont val="Tahoma"/>
            <family val="2"/>
          </rPr>
          <t xml:space="preserve">
11/9/2020 Pepsico PEP – Bought 125 @ 139.937 ($17,492.13)</t>
        </r>
      </text>
    </comment>
    <comment ref="GJ71" authorId="0" shapeId="0" xr:uid="{D7DAE617-47C5-4D47-B678-119568706F25}">
      <text>
        <r>
          <rPr>
            <b/>
            <sz val="9"/>
            <color indexed="81"/>
            <rFont val="Tahoma"/>
            <family val="2"/>
          </rPr>
          <t>Rob Squire:</t>
        </r>
        <r>
          <rPr>
            <sz val="9"/>
            <color indexed="81"/>
            <rFont val="Tahoma"/>
            <family val="2"/>
          </rPr>
          <t xml:space="preserve">
11/9/2020 Phillip Morris PM – Bought 250 @ 72.285 ($18,071.25)</t>
        </r>
      </text>
    </comment>
    <comment ref="GR71" authorId="0" shapeId="0" xr:uid="{D7C06BEB-6FE5-4353-A482-CA5F24BB53F6}">
      <text>
        <r>
          <rPr>
            <b/>
            <sz val="9"/>
            <color indexed="81"/>
            <rFont val="Tahoma"/>
            <family val="2"/>
          </rPr>
          <t>Rob Squire:</t>
        </r>
        <r>
          <rPr>
            <sz val="9"/>
            <color indexed="81"/>
            <rFont val="Tahoma"/>
            <family val="2"/>
          </rPr>
          <t xml:space="preserve">
11/9/2020 Union Pacific UNP – Bought 90 @ 200.119 ($18,010.71)
Total of 90 shares
Cost basis is 200.119 ($18,010.71)</t>
        </r>
      </text>
    </comment>
    <comment ref="GX71" authorId="0" shapeId="0" xr:uid="{37046D9C-339A-4C32-8D83-0B95B1ECBEB3}">
      <text>
        <r>
          <rPr>
            <b/>
            <sz val="9"/>
            <color indexed="81"/>
            <rFont val="Tahoma"/>
            <family val="2"/>
          </rPr>
          <t>Rob Squire:</t>
        </r>
        <r>
          <rPr>
            <sz val="9"/>
            <color indexed="81"/>
            <rFont val="Tahoma"/>
            <family val="2"/>
          </rPr>
          <t xml:space="preserve">
11/9/2020 Verizon VZ – Bought 300 @ 60.2016 ($18,060.48)
Total is 300 shares
Cost basis is 60.2016 ($18,060.48)</t>
        </r>
      </text>
    </comment>
    <comment ref="HK71" authorId="0" shapeId="0" xr:uid="{9214EF9D-BF07-41FC-933D-9D395531B5EE}">
      <text>
        <r>
          <rPr>
            <b/>
            <sz val="9"/>
            <color indexed="81"/>
            <rFont val="Tahoma"/>
            <family val="2"/>
          </rPr>
          <t>Rob Squire:</t>
        </r>
        <r>
          <rPr>
            <sz val="9"/>
            <color indexed="81"/>
            <rFont val="Tahoma"/>
            <family val="2"/>
          </rPr>
          <t xml:space="preserve">
11/9/2020 Air Products and Chemicals APD – Bought 45 @ 316.5838 ($14,246.27)</t>
        </r>
      </text>
    </comment>
    <comment ref="HN71" authorId="0" shapeId="0" xr:uid="{381EF3BF-B229-4310-9AA6-DD91B6B0F83D}">
      <text>
        <r>
          <rPr>
            <b/>
            <sz val="9"/>
            <color indexed="81"/>
            <rFont val="Tahoma"/>
            <family val="2"/>
          </rPr>
          <t>Rob Squire:</t>
        </r>
        <r>
          <rPr>
            <sz val="9"/>
            <color indexed="81"/>
            <rFont val="Tahoma"/>
            <family val="2"/>
          </rPr>
          <t xml:space="preserve">
11/9/2020 Autozone AZO – bought 15 @ 1164.1974 ($17,462.96)
Total is 15 shares
Cost basis is 1164.1974 ($17,462.96)</t>
        </r>
      </text>
    </comment>
    <comment ref="HO71" authorId="0" shapeId="0" xr:uid="{9C1B0E1D-8B79-4EEF-B523-616FA2B310FD}">
      <text>
        <r>
          <rPr>
            <b/>
            <sz val="9"/>
            <color indexed="81"/>
            <rFont val="Tahoma"/>
            <family val="2"/>
          </rPr>
          <t>Rob Squire:</t>
        </r>
        <r>
          <rPr>
            <sz val="9"/>
            <color indexed="81"/>
            <rFont val="Tahoma"/>
            <family val="2"/>
          </rPr>
          <t xml:space="preserve">
11/9/2020 Bank of America BAC – Bought 600 @ 28.055 ($16,833.00)
Total is 600 shares
Cost basis is 28.055 ($16,833.00)</t>
        </r>
      </text>
    </comment>
    <comment ref="HZ71" authorId="0" shapeId="0" xr:uid="{4DFD0D8E-0D67-4615-B217-E870F0EE157D}">
      <text>
        <r>
          <rPr>
            <b/>
            <sz val="9"/>
            <color indexed="81"/>
            <rFont val="Tahoma"/>
            <family val="2"/>
          </rPr>
          <t>Rob Squire:</t>
        </r>
        <r>
          <rPr>
            <sz val="9"/>
            <color indexed="81"/>
            <rFont val="Tahoma"/>
            <family val="2"/>
          </rPr>
          <t xml:space="preserve">
11/9/2020 CISCO Systems CSCO – Bought 430 @ 38.6726 ($16,629.22)
Total is 430
Cost Basis is 38.6726 ($16,629.22)</t>
        </r>
      </text>
    </comment>
    <comment ref="IA71" authorId="0" shapeId="0" xr:uid="{2E2BD923-4E3E-42C4-9627-6F93DCED310D}">
      <text>
        <r>
          <rPr>
            <b/>
            <sz val="9"/>
            <color indexed="81"/>
            <rFont val="Tahoma"/>
            <family val="2"/>
          </rPr>
          <t>Rob Squire:</t>
        </r>
        <r>
          <rPr>
            <sz val="9"/>
            <color indexed="81"/>
            <rFont val="Tahoma"/>
            <family val="2"/>
          </rPr>
          <t xml:space="preserve">
11/9/2020 Cognizant Technology Solutions CTSH – Bought 225 @ 74.7105 ($16,809.86)
Total is 225
Cost basis is 74.7105 ($16,809.86)</t>
        </r>
      </text>
    </comment>
    <comment ref="IC71" authorId="0" shapeId="0" xr:uid="{03B30EAA-A7CD-4016-806D-692B558A3D65}">
      <text>
        <r>
          <rPr>
            <b/>
            <sz val="9"/>
            <color indexed="81"/>
            <rFont val="Tahoma"/>
            <family val="2"/>
          </rPr>
          <t>Rob Squire:</t>
        </r>
        <r>
          <rPr>
            <sz val="9"/>
            <color indexed="81"/>
            <rFont val="Tahoma"/>
            <family val="2"/>
          </rPr>
          <t xml:space="preserve">
11/9/2020 Quest diagnostics DGX – Bought 135 @ 121.7211 ($16,432.35)
Total is 135
Cost basis is 121.7211 ($16,432.35)</t>
        </r>
      </text>
    </comment>
    <comment ref="IE71" authorId="0" shapeId="0" xr:uid="{5B07F8E0-B63B-4912-8F2A-8B5963F6D748}">
      <text>
        <r>
          <rPr>
            <b/>
            <sz val="9"/>
            <color indexed="81"/>
            <rFont val="Tahoma"/>
            <family val="2"/>
          </rPr>
          <t>Rob Squire:</t>
        </r>
        <r>
          <rPr>
            <sz val="9"/>
            <color indexed="81"/>
            <rFont val="Tahoma"/>
            <family val="2"/>
          </rPr>
          <t xml:space="preserve">
11/9/2020 Electronic Arts EA – bought 125 @ 118.092 ($14,761.50)
Total is 125 shares
Cost basis is 118.092 ($14,761.50)</t>
        </r>
      </text>
    </comment>
    <comment ref="IM71" authorId="0" shapeId="0" xr:uid="{0DDF3DEA-7D74-40D7-B7A4-C27A188CC354}">
      <text>
        <r>
          <rPr>
            <b/>
            <sz val="9"/>
            <color indexed="81"/>
            <rFont val="Tahoma"/>
            <family val="2"/>
          </rPr>
          <t>Rob Squire:</t>
        </r>
        <r>
          <rPr>
            <sz val="9"/>
            <color indexed="81"/>
            <rFont val="Tahoma"/>
            <family val="2"/>
          </rPr>
          <t xml:space="preserve">
11/9/2020 Google GOOGL Bought 10 @ 1780.145 ($17,801.45)
Total is 10 shares
Cost basis is 1780.145 ($17,801.45)</t>
        </r>
      </text>
    </comment>
    <comment ref="IP71" authorId="0" shapeId="0" xr:uid="{EE3A3A14-B4CB-4A9A-BF59-C892E497BDF7}">
      <text>
        <r>
          <rPr>
            <b/>
            <sz val="9"/>
            <color indexed="81"/>
            <rFont val="Tahoma"/>
            <family val="2"/>
          </rPr>
          <t>Rob Squire:</t>
        </r>
        <r>
          <rPr>
            <sz val="9"/>
            <color indexed="81"/>
            <rFont val="Tahoma"/>
            <family val="2"/>
          </rPr>
          <t xml:space="preserve">
11/9/2020 Home Depot HD – Bought 60 @ 273.455 ($16,407.30)
Total is 60 shares
Cost basis is 273.455 ($16,407.30)</t>
        </r>
      </text>
    </comment>
    <comment ref="IW71" authorId="0" shapeId="0" xr:uid="{C0A243EC-5151-4CE8-BD68-B6DFF8C12B4C}">
      <text>
        <r>
          <rPr>
            <b/>
            <sz val="9"/>
            <color indexed="81"/>
            <rFont val="Tahoma"/>
            <family val="2"/>
          </rPr>
          <t>Rob Squire:</t>
        </r>
        <r>
          <rPr>
            <sz val="9"/>
            <color indexed="81"/>
            <rFont val="Tahoma"/>
            <family val="2"/>
          </rPr>
          <t xml:space="preserve">
11/9/2020 Johnson &amp; Johnson JNJ – bought 120 @ 147.795 ($17,735.40)
Total is 120 shares
Cost basis is 147.795 ($17,735.40)</t>
        </r>
      </text>
    </comment>
    <comment ref="IY71" authorId="0" shapeId="0" xr:uid="{084E6022-4A15-4377-8CE2-9BDDAC450118}">
      <text>
        <r>
          <rPr>
            <b/>
            <sz val="9"/>
            <color indexed="81"/>
            <rFont val="Tahoma"/>
            <family val="2"/>
          </rPr>
          <t>Rob Squire:</t>
        </r>
        <r>
          <rPr>
            <sz val="9"/>
            <color indexed="81"/>
            <rFont val="Tahoma"/>
            <family val="2"/>
          </rPr>
          <t xml:space="preserve">
11/9/2020 Kimberly Clark KMB – bought 100 @ 134.0555 ($13.405.55)
Total is 100 shares
Cost basis is 134.0555 ($13.405.55)</t>
        </r>
      </text>
    </comment>
    <comment ref="JK71" authorId="0" shapeId="0" xr:uid="{278F31A3-FFF8-4777-A5FE-4B2995D77B73}">
      <text>
        <r>
          <rPr>
            <b/>
            <sz val="9"/>
            <color indexed="81"/>
            <rFont val="Tahoma"/>
            <family val="2"/>
          </rPr>
          <t>Rob Squire:</t>
        </r>
        <r>
          <rPr>
            <sz val="9"/>
            <color indexed="81"/>
            <rFont val="Tahoma"/>
            <family val="2"/>
          </rPr>
          <t xml:space="preserve">
11/9/2020 3M MMM – Bought 90 @ 166.02 ($14,941.80)
Total is 90 shares
Cost basis is 166.02 ($14,941.80)</t>
        </r>
      </text>
    </comment>
    <comment ref="JL71" authorId="0" shapeId="0" xr:uid="{3F6C63C3-6219-4E33-80AD-1435D10FA07E}">
      <text>
        <r>
          <rPr>
            <b/>
            <sz val="9"/>
            <color indexed="81"/>
            <rFont val="Tahoma"/>
            <family val="2"/>
          </rPr>
          <t>Rob Squire:</t>
        </r>
        <r>
          <rPr>
            <sz val="9"/>
            <color indexed="81"/>
            <rFont val="Tahoma"/>
            <family val="2"/>
          </rPr>
          <t xml:space="preserve">
11/9/2020 MERCK MRK – Bought 210 @ 81.19 ($17,049.90)</t>
        </r>
      </text>
    </comment>
    <comment ref="JS71" authorId="0" shapeId="0" xr:uid="{ED1423E5-D050-4C95-9443-ED196BA4F094}">
      <text>
        <r>
          <rPr>
            <b/>
            <sz val="9"/>
            <color indexed="81"/>
            <rFont val="Tahoma"/>
            <family val="2"/>
          </rPr>
          <t>Rob Squire:</t>
        </r>
        <r>
          <rPr>
            <sz val="9"/>
            <color indexed="81"/>
            <rFont val="Tahoma"/>
            <family val="2"/>
          </rPr>
          <t xml:space="preserve">
11/9/2020 PPL – Bought 550 @ 28.945 ($15,919.75)
Total is 550 shares
Cost basis is 28.945 ($15,919.75)</t>
        </r>
      </text>
    </comment>
    <comment ref="JT71" authorId="0" shapeId="0" xr:uid="{EB631946-A96F-4742-80BA-F96A49546F14}">
      <text>
        <r>
          <rPr>
            <b/>
            <sz val="9"/>
            <color indexed="81"/>
            <rFont val="Tahoma"/>
            <family val="2"/>
          </rPr>
          <t>Rob Squire:</t>
        </r>
        <r>
          <rPr>
            <sz val="9"/>
            <color indexed="81"/>
            <rFont val="Tahoma"/>
            <family val="2"/>
          </rPr>
          <t xml:space="preserve">
11/9/2020 Starbucks SBUX – Bought 150 @ 97 ($14,550.00)
Total is 150 shares
Cost basis is 97 ($14,550.00)</t>
        </r>
      </text>
    </comment>
    <comment ref="JX71" authorId="0" shapeId="0" xr:uid="{DC6EB6AD-9B21-4F84-A626-1194A6862819}">
      <text>
        <r>
          <rPr>
            <b/>
            <sz val="9"/>
            <color indexed="81"/>
            <rFont val="Tahoma"/>
            <family val="2"/>
          </rPr>
          <t>Rob Squire:</t>
        </r>
        <r>
          <rPr>
            <sz val="9"/>
            <color indexed="81"/>
            <rFont val="Tahoma"/>
            <family val="2"/>
          </rPr>
          <t xml:space="preserve">
11/9/2020 United Healthgroup UNH – Bought 40 @ 353.8459 ($14,153.84)
Total is 40 shares
Cost basis is 353.8459 ($14,153.84)</t>
        </r>
      </text>
    </comment>
    <comment ref="JZ71" authorId="0" shapeId="0" xr:uid="{3A205321-EC1C-458E-8775-B3CFF546411B}">
      <text>
        <r>
          <rPr>
            <b/>
            <sz val="9"/>
            <color indexed="81"/>
            <rFont val="Tahoma"/>
            <family val="2"/>
          </rPr>
          <t>Rob Squire:</t>
        </r>
        <r>
          <rPr>
            <sz val="9"/>
            <color indexed="81"/>
            <rFont val="Tahoma"/>
            <family val="2"/>
          </rPr>
          <t xml:space="preserve">
11/9/2020 UPS – bought 90 @ 164.58 ($14,812.20)
Total is 90 shares
Cost basis is 164.58 ($14,812.20)</t>
        </r>
      </text>
    </comment>
    <comment ref="KC71" authorId="0" shapeId="0" xr:uid="{E3185BFB-1606-4BBC-9D63-2250EF1AAB37}">
      <text>
        <r>
          <rPr>
            <b/>
            <sz val="9"/>
            <color indexed="81"/>
            <rFont val="Tahoma"/>
            <family val="2"/>
          </rPr>
          <t>Rob Squire:</t>
        </r>
        <r>
          <rPr>
            <sz val="9"/>
            <color indexed="81"/>
            <rFont val="Tahoma"/>
            <family val="2"/>
          </rPr>
          <t xml:space="preserve">
11/9/2020 Visa V – Bought 80 @ 215.29 ($17,223.20)
Total is 80 shares
Cost basis is  215.29 ($17,223.20)</t>
        </r>
      </text>
    </comment>
    <comment ref="KL71" authorId="0" shapeId="0" xr:uid="{173E2232-2562-43A3-82D9-174AEDE8623D}">
      <text>
        <r>
          <rPr>
            <b/>
            <sz val="9"/>
            <color indexed="81"/>
            <rFont val="Tahoma"/>
            <family val="2"/>
          </rPr>
          <t>Rob Squire:</t>
        </r>
        <r>
          <rPr>
            <sz val="9"/>
            <color indexed="81"/>
            <rFont val="Tahoma"/>
            <family val="2"/>
          </rPr>
          <t xml:space="preserve">
11/9/2020 Vanguard Real Estate ETF VNQ – Bought 150 @ 83.3814 ($12,507.21)
Total of 150 shares
Cost basis is 83.3814 ($12,507.21)</t>
        </r>
      </text>
    </comment>
    <comment ref="KP71" authorId="0" shapeId="0" xr:uid="{6AE85424-9A1B-4495-9A52-46B497D82881}">
      <text>
        <r>
          <rPr>
            <b/>
            <sz val="9"/>
            <color indexed="81"/>
            <rFont val="Tahoma"/>
            <family val="2"/>
          </rPr>
          <t>Rob Squire:</t>
        </r>
        <r>
          <rPr>
            <sz val="9"/>
            <color indexed="81"/>
            <rFont val="Tahoma"/>
            <family val="2"/>
          </rPr>
          <t xml:space="preserve">
11/9/2020 Wells Fargo WFCPRL – Bought 10 @ 1396.480 ($13,964.80)
Total is 10 shares
Cost basis is 1396.480 ($13,964.80)</t>
        </r>
      </text>
    </comment>
    <comment ref="KR71" authorId="0" shapeId="0" xr:uid="{29CF835F-9A84-4AF7-AFCB-133E2BD3649D}">
      <text>
        <r>
          <rPr>
            <b/>
            <sz val="9"/>
            <color indexed="81"/>
            <rFont val="Tahoma"/>
            <family val="2"/>
          </rPr>
          <t>Rob Squire:</t>
        </r>
        <r>
          <rPr>
            <sz val="9"/>
            <color indexed="81"/>
            <rFont val="Tahoma"/>
            <family val="2"/>
          </rPr>
          <t xml:space="preserve">
11/9/2020 Select SPDR Energy XLE – bought 150 @ 33.3858 ($5,007.87)</t>
        </r>
      </text>
    </comment>
    <comment ref="KS71" authorId="0" shapeId="0" xr:uid="{34667B95-D3A5-4667-9D65-C3A354B0455F}">
      <text>
        <r>
          <rPr>
            <b/>
            <sz val="9"/>
            <color indexed="81"/>
            <rFont val="Tahoma"/>
            <family val="2"/>
          </rPr>
          <t>Rob Squire:</t>
        </r>
        <r>
          <rPr>
            <sz val="9"/>
            <color indexed="81"/>
            <rFont val="Tahoma"/>
            <family val="2"/>
          </rPr>
          <t xml:space="preserve">
11/9/2020 Select SPDR AMEX Financial XLF – bought 625 @ 27.225 ($17,015.63)
Total is 625 shares
Cost basis is 27.225 ($17,015.63)</t>
        </r>
      </text>
    </comment>
    <comment ref="NY71" authorId="0" shapeId="0" xr:uid="{CE577C95-E674-4D71-93DF-15387402681B}">
      <text>
        <r>
          <rPr>
            <b/>
            <sz val="9"/>
            <color indexed="81"/>
            <rFont val="Tahoma"/>
            <family val="2"/>
          </rPr>
          <t>Rob Squire:</t>
        </r>
        <r>
          <rPr>
            <sz val="9"/>
            <color indexed="81"/>
            <rFont val="Tahoma"/>
            <family val="2"/>
          </rPr>
          <t xml:space="preserve">
11/30/2020 Bought 3,393.665 Fidelity Short Term Bond Fund FSHBX @8.84 ($30,000.00)</t>
        </r>
      </text>
    </comment>
    <comment ref="IY72" authorId="0" shapeId="0" xr:uid="{F0923CC2-D009-469E-B79A-572A49747299}">
      <text>
        <r>
          <rPr>
            <b/>
            <sz val="9"/>
            <color indexed="81"/>
            <rFont val="Tahoma"/>
            <family val="2"/>
          </rPr>
          <t>Rob Squire:</t>
        </r>
        <r>
          <rPr>
            <sz val="9"/>
            <color indexed="81"/>
            <rFont val="Tahoma"/>
            <family val="2"/>
          </rPr>
          <t xml:space="preserve">
12/17/2020 Bought 20 more KMB @ 136.185 ($2,723.70)  
Total is 120 shares
Average cost basis is 134.4104 ($16,129.25)</t>
        </r>
      </text>
    </comment>
    <comment ref="C73" authorId="0" shapeId="0" xr:uid="{25CBF9A0-2331-4898-B8EF-F3EDE914E162}">
      <text>
        <r>
          <rPr>
            <b/>
            <sz val="9"/>
            <color indexed="81"/>
            <rFont val="Tahoma"/>
            <family val="2"/>
          </rPr>
          <t>Rob Squire:</t>
        </r>
        <r>
          <rPr>
            <sz val="9"/>
            <color indexed="81"/>
            <rFont val="Tahoma"/>
            <family val="2"/>
          </rPr>
          <t xml:space="preserve">
Transferred in $75k from GGS Managed Joint</t>
        </r>
      </text>
    </comment>
    <comment ref="K73" authorId="0" shapeId="0" xr:uid="{7B90D57C-178F-45FB-8FCF-3DEF7FA8BA0F}">
      <text>
        <r>
          <rPr>
            <b/>
            <sz val="9"/>
            <color indexed="81"/>
            <rFont val="Tahoma"/>
            <family val="2"/>
          </rPr>
          <t>Rob Squire:</t>
        </r>
        <r>
          <rPr>
            <sz val="9"/>
            <color indexed="81"/>
            <rFont val="Tahoma"/>
            <family val="2"/>
          </rPr>
          <t xml:space="preserve">
1/21/2021 Sold 25 IJR @100.225 ($2,505.57)
Cost basis was 80.682
Profit was $488.52
190 shares left
Cost basis remains at 80.682</t>
        </r>
      </text>
    </comment>
    <comment ref="AE73" authorId="0" shapeId="0" xr:uid="{639300F2-6D92-452B-A047-C37E84C7A154}">
      <text>
        <r>
          <rPr>
            <b/>
            <sz val="9"/>
            <color indexed="81"/>
            <rFont val="Tahoma"/>
            <family val="2"/>
          </rPr>
          <t>Rob Squire:</t>
        </r>
        <r>
          <rPr>
            <sz val="9"/>
            <color indexed="81"/>
            <rFont val="Tahoma"/>
            <family val="2"/>
          </rPr>
          <t xml:space="preserve">
1/25/2021 Xfered out $75k to Managed Rob's IRA</t>
        </r>
      </text>
    </comment>
    <comment ref="AY73" authorId="0" shapeId="0" xr:uid="{EE6538C0-C931-4F2C-9977-88E74B85BC3B}">
      <text>
        <r>
          <rPr>
            <b/>
            <sz val="9"/>
            <color indexed="81"/>
            <rFont val="Tahoma"/>
            <family val="2"/>
          </rPr>
          <t>Rob Squire:</t>
        </r>
        <r>
          <rPr>
            <sz val="9"/>
            <color indexed="81"/>
            <rFont val="Tahoma"/>
            <family val="2"/>
          </rPr>
          <t xml:space="preserve">
1/11/2021 Sold 3,420.753 FSHBX (Fidelity Short Term Bond Fund) @8.77 ($30,000.00)</t>
        </r>
      </text>
    </comment>
    <comment ref="CV73" authorId="0" shapeId="0" xr:uid="{EB4DEC01-004B-4FE7-9B4B-07570E826673}">
      <text>
        <r>
          <rPr>
            <b/>
            <sz val="9"/>
            <color indexed="81"/>
            <rFont val="Tahoma"/>
            <family val="2"/>
          </rPr>
          <t>Rob Squire:</t>
        </r>
        <r>
          <rPr>
            <sz val="9"/>
            <color indexed="81"/>
            <rFont val="Tahoma"/>
            <family val="2"/>
          </rPr>
          <t xml:space="preserve">
1/26/2021 Bought 150 WM (Waste Management) @ 114.4523 ($17,167.85)
Total is 150 shares
Cost basis is 114.4523 ($17,167.85)</t>
        </r>
      </text>
    </comment>
    <comment ref="FG73" authorId="0" shapeId="0" xr:uid="{2DBBC151-4F7F-42C8-A44D-73125206673C}">
      <text>
        <r>
          <rPr>
            <b/>
            <sz val="9"/>
            <color indexed="81"/>
            <rFont val="Tahoma"/>
            <family val="2"/>
          </rPr>
          <t>Rob Squire:</t>
        </r>
        <r>
          <rPr>
            <sz val="9"/>
            <color indexed="81"/>
            <rFont val="Tahoma"/>
            <family val="2"/>
          </rPr>
          <t xml:space="preserve">
1/21/2021 Sold all 45 COST @362.7287 ($16,322.42) </t>
        </r>
      </text>
    </comment>
    <comment ref="FO73" authorId="0" shapeId="0" xr:uid="{8A9A55B8-8617-4407-9FC8-0AE242EB91B4}">
      <text>
        <r>
          <rPr>
            <b/>
            <sz val="9"/>
            <color indexed="81"/>
            <rFont val="Tahoma"/>
            <family val="2"/>
          </rPr>
          <t>Rob Squire:</t>
        </r>
        <r>
          <rPr>
            <sz val="9"/>
            <color indexed="81"/>
            <rFont val="Tahoma"/>
            <family val="2"/>
          </rPr>
          <t xml:space="preserve">
1/21/2021 Sold all 60 FB @273.08 ($16,384.43)</t>
        </r>
      </text>
    </comment>
    <comment ref="FQ73" authorId="0" shapeId="0" xr:uid="{EF2CE21D-C2A6-4448-BAF9-5637C042973A}">
      <text>
        <r>
          <rPr>
            <b/>
            <sz val="9"/>
            <color indexed="81"/>
            <rFont val="Tahoma"/>
            <family val="2"/>
          </rPr>
          <t>Rob Squire:</t>
        </r>
        <r>
          <rPr>
            <sz val="9"/>
            <color indexed="81"/>
            <rFont val="Tahoma"/>
            <family val="2"/>
          </rPr>
          <t xml:space="preserve">
1/21/2021 Sold all 120 GD @150.73 ($18,087.20)</t>
        </r>
      </text>
    </comment>
    <comment ref="FW73" authorId="0" shapeId="0" xr:uid="{67D2DDF0-77E2-464D-9749-BC64D0F56E37}">
      <text>
        <r>
          <rPr>
            <b/>
            <sz val="9"/>
            <color indexed="81"/>
            <rFont val="Tahoma"/>
            <family val="2"/>
          </rPr>
          <t>Rob Squire:</t>
        </r>
        <r>
          <rPr>
            <sz val="9"/>
            <color indexed="81"/>
            <rFont val="Tahoma"/>
            <family val="2"/>
          </rPr>
          <t xml:space="preserve">
1/21/2021 Sold 25 IJR @100.225 ($2,505.57)
Cost basis was 80.682
Profit was $488.52
190 shares left
Cost basis remains at 80.682</t>
        </r>
      </text>
    </comment>
    <comment ref="GH73" authorId="0" shapeId="0" xr:uid="{353EB7A9-1255-417A-8034-94843C1066DE}">
      <text>
        <r>
          <rPr>
            <b/>
            <sz val="9"/>
            <color indexed="81"/>
            <rFont val="Tahoma"/>
            <family val="2"/>
          </rPr>
          <t>Rob Squire:</t>
        </r>
        <r>
          <rPr>
            <sz val="9"/>
            <color indexed="81"/>
            <rFont val="Tahoma"/>
            <family val="2"/>
          </rPr>
          <t xml:space="preserve">
1/21/2021 Sold all 125 PEP @139.975 ($17,496.49)</t>
        </r>
      </text>
    </comment>
    <comment ref="IJ73" authorId="0" shapeId="0" xr:uid="{D56A74DC-E52F-435E-9EEA-A9D2E6E73208}">
      <text>
        <r>
          <rPr>
            <b/>
            <sz val="9"/>
            <color indexed="81"/>
            <rFont val="Tahoma"/>
            <family val="2"/>
          </rPr>
          <t>Rob Squire:</t>
        </r>
        <r>
          <rPr>
            <sz val="9"/>
            <color indexed="81"/>
            <rFont val="Tahoma"/>
            <family val="2"/>
          </rPr>
          <t xml:space="preserve">
1/26/2021 Bought 115 GD (General Dynamics) @150.4073 ($17,296.84)
Total is 115 shares
Cost basis is 150.4073 ($17,296.84)</t>
        </r>
      </text>
    </comment>
    <comment ref="IZ73" authorId="0" shapeId="0" xr:uid="{EC00CA27-DDED-4DDE-904F-38609A0C7770}">
      <text>
        <r>
          <rPr>
            <b/>
            <sz val="9"/>
            <color indexed="81"/>
            <rFont val="Tahoma"/>
            <family val="2"/>
          </rPr>
          <t>Rob Squire:</t>
        </r>
        <r>
          <rPr>
            <sz val="9"/>
            <color indexed="81"/>
            <rFont val="Tahoma"/>
            <family val="2"/>
          </rPr>
          <t xml:space="preserve">
1/26/2021 Bought 375 KO (Coca Cola) @49.3638 ($18,511.43)
Total is 375 shares
Cost basis is 49.3638 ($18,511.43)</t>
        </r>
      </text>
    </comment>
    <comment ref="JI73" authorId="0" shapeId="0" xr:uid="{9769D0BE-32AF-444E-A799-6E368FD73246}">
      <text>
        <r>
          <rPr>
            <b/>
            <sz val="9"/>
            <color indexed="81"/>
            <rFont val="Tahoma"/>
            <family val="2"/>
          </rPr>
          <t>Rob Squire:</t>
        </r>
        <r>
          <rPr>
            <sz val="9"/>
            <color indexed="81"/>
            <rFont val="Tahoma"/>
            <family val="2"/>
          </rPr>
          <t xml:space="preserve">
1/26/2021 Bought 100 MCK (Mckesson Corp) @ 184.86 ($18,486.00)
Total is 100 shares
Cost basis is 184.86 ($18,486.00)</t>
        </r>
      </text>
    </comment>
    <comment ref="KQ73" authorId="0" shapeId="0" xr:uid="{B2191382-222E-47CA-BC15-3785ABA15A5F}">
      <text>
        <r>
          <rPr>
            <b/>
            <sz val="9"/>
            <color indexed="81"/>
            <rFont val="Tahoma"/>
            <family val="2"/>
          </rPr>
          <t>Rob Squire:</t>
        </r>
        <r>
          <rPr>
            <sz val="9"/>
            <color indexed="81"/>
            <rFont val="Tahoma"/>
            <family val="2"/>
          </rPr>
          <t xml:space="preserve">
1/26/2021 Bought 150 WM (Waste Management) @ 114.4523 ($17,167.85)
Total is 150 shares
Cost basis is 114.4523 ($17,167.85)</t>
        </r>
      </text>
    </comment>
    <comment ref="KR73" authorId="0" shapeId="0" xr:uid="{6DC215B1-51EB-493C-93E7-A7B2E8E23C0E}">
      <text>
        <r>
          <rPr>
            <b/>
            <sz val="9"/>
            <color indexed="81"/>
            <rFont val="Tahoma"/>
            <family val="2"/>
          </rPr>
          <t>Rob Squire:</t>
        </r>
        <r>
          <rPr>
            <sz val="9"/>
            <color indexed="81"/>
            <rFont val="Tahoma"/>
            <family val="2"/>
          </rPr>
          <t xml:space="preserve">
1/26/2021 Sold all 150 XLE (SPDR Energy ETF) @40.871 ($6,130.51)</t>
        </r>
      </text>
    </comment>
    <comment ref="KT73" authorId="0" shapeId="0" xr:uid="{CD9C1D23-1998-4198-955D-3E6750C498E1}">
      <text>
        <r>
          <rPr>
            <b/>
            <sz val="9"/>
            <color indexed="81"/>
            <rFont val="Tahoma"/>
            <family val="2"/>
          </rPr>
          <t>Rob Squire:</t>
        </r>
        <r>
          <rPr>
            <sz val="9"/>
            <color indexed="81"/>
            <rFont val="Tahoma"/>
            <family val="2"/>
          </rPr>
          <t xml:space="preserve">
1/26/2021 Bought 200 XOM (Exxon) @46.005 ($9,201.00)
Total is 200 shares
Cost basis is 46.005 ($9,201.00)</t>
        </r>
      </text>
    </comment>
    <comment ref="G77" authorId="6" shapeId="0" xr:uid="{F2577DE9-A6E1-4641-8D36-F467E6DBD7C8}">
      <text>
        <t>[Threaded comment]
Your version of Excel allows you to read this threaded comment; however, any edits to it will get removed if the file is opened in a newer version of Excel. Learn more: https://go.microsoft.com/fwlink/?linkid=870924
Comment:
    5/10/2021 – Sold all 4,258.273 FTBFX @ 11.06 ($46,985.90)</t>
      </text>
    </comment>
    <comment ref="P77" authorId="7" shapeId="0" xr:uid="{29F8A73F-FD99-443C-ABE3-13B40B0B839D}">
      <text>
        <t>[Threaded comment]
Your version of Excel allows you to read this threaded comment; however, any edits to it will get removed if the file is opened in a newer version of Excel. Learn more: https://go.microsoft.com/fwlink/?linkid=870924
Comment:
    5/11/2021 – Bought 4,259.828 shares THOPX @ 11.03 ($46,985.90)</t>
      </text>
    </comment>
    <comment ref="AN77" authorId="0" shapeId="0" xr:uid="{316639A4-3D66-4ABD-9A46-E86939B1C31B}">
      <text>
        <r>
          <rPr>
            <b/>
            <sz val="9"/>
            <color indexed="81"/>
            <rFont val="Tahoma"/>
            <family val="2"/>
          </rPr>
          <t>Rob Squire:</t>
        </r>
        <r>
          <rPr>
            <sz val="9"/>
            <color indexed="81"/>
            <rFont val="Tahoma"/>
            <family val="2"/>
          </rPr>
          <t xml:space="preserve">
5/21/2021 Bought 5 BACPRL [Bank of America 7.25% CNV preferred] @1408 ($7,040.00)
Total is 5 shares
Cost basis is 1408 ($7,040.00)</t>
        </r>
      </text>
    </comment>
    <comment ref="AS77" authorId="0" shapeId="0" xr:uid="{7A77E9F3-C597-45B7-B0A9-0AD4CDBC516C}">
      <text>
        <r>
          <rPr>
            <b/>
            <sz val="9"/>
            <color indexed="81"/>
            <rFont val="Tahoma"/>
            <family val="2"/>
          </rPr>
          <t>Rob Squire:</t>
        </r>
        <r>
          <rPr>
            <sz val="9"/>
            <color indexed="81"/>
            <rFont val="Tahoma"/>
            <family val="2"/>
          </rPr>
          <t xml:space="preserve">
Xferred all 406 to new Rob's IRA Managed - Bonds acct</t>
        </r>
      </text>
    </comment>
    <comment ref="AY77" authorId="0" shapeId="0" xr:uid="{B22FBED9-9ED3-4FC0-A3D9-F454B3D6F69C}">
      <text>
        <r>
          <rPr>
            <b/>
            <sz val="9"/>
            <color indexed="81"/>
            <rFont val="Tahoma"/>
            <family val="2"/>
          </rPr>
          <t>Rob Squire:</t>
        </r>
        <r>
          <rPr>
            <sz val="9"/>
            <color indexed="81"/>
            <rFont val="Tahoma"/>
            <family val="2"/>
          </rPr>
          <t xml:space="preserve">
Xferred all 4,007.228  to new Rob's IRA Managed - Bonds acct</t>
        </r>
      </text>
    </comment>
    <comment ref="BG77" authorId="0" shapeId="0" xr:uid="{0BC36189-9FEB-467F-9479-9D3FFB6281AE}">
      <text>
        <r>
          <rPr>
            <b/>
            <sz val="9"/>
            <color indexed="81"/>
            <rFont val="Tahoma"/>
            <family val="2"/>
          </rPr>
          <t>Rob Squire:</t>
        </r>
        <r>
          <rPr>
            <sz val="9"/>
            <color indexed="81"/>
            <rFont val="Tahoma"/>
            <family val="2"/>
          </rPr>
          <t xml:space="preserve">
5/21/2021 Bought 300 GSPRD [Goldman Sachs Group Inc 3.955% preferred @24.6916 ($7,407.48)
Total of 300 shares
Cost bais is 24.6916 ($7,407.48)</t>
        </r>
      </text>
    </comment>
    <comment ref="BL77" authorId="0" shapeId="0" xr:uid="{9B3CF666-486D-4E6A-9A17-1734AD871238}">
      <text>
        <r>
          <rPr>
            <b/>
            <sz val="9"/>
            <color indexed="81"/>
            <rFont val="Tahoma"/>
            <family val="2"/>
          </rPr>
          <t>Rob Squire:</t>
        </r>
        <r>
          <rPr>
            <sz val="9"/>
            <color indexed="81"/>
            <rFont val="Tahoma"/>
            <family val="2"/>
          </rPr>
          <t xml:space="preserve">
Xferred all 310 ICVT  to new Rob's IRA Managed - Bonds acct</t>
        </r>
      </text>
    </comment>
    <comment ref="BR77" authorId="8" shapeId="0" xr:uid="{D5BA53BB-52C0-4D27-A6C3-B02CA9C1008D}">
      <text>
        <t>[Threaded comment]
Your version of Excel allows you to read this threaded comment; however, any edits to it will get removed if the file is opened in a newer version of Excel. Learn more: https://go.microsoft.com/fwlink/?linkid=870924
Comment:
    5/17/2021 Bought 80 KO [Coca Cola] @ 54.6001 ($4,368.01) [beta =  0.81]
5/21/2021 Bought 40 more KO @54.5608 ($2,182.43)
Total is 120 shares at 54.587 ($6,550.44)</t>
      </text>
    </comment>
    <comment ref="BX77" authorId="0" shapeId="0" xr:uid="{A0AA3834-4D4B-4ACF-B2BE-BC175A9D8161}">
      <text>
        <r>
          <rPr>
            <b/>
            <sz val="9"/>
            <color indexed="81"/>
            <rFont val="Tahoma"/>
            <family val="2"/>
          </rPr>
          <t>Rob Squire:</t>
        </r>
        <r>
          <rPr>
            <sz val="9"/>
            <color indexed="81"/>
            <rFont val="Tahoma"/>
            <family val="2"/>
          </rPr>
          <t xml:space="preserve">
5/21/2021 Bought 100 PEG [Public Svc Enterprise Group] @62.85 ($6,285.00)
Total is 100 shares
Cost basis is 62.85 ($6,285.00)</t>
        </r>
      </text>
    </comment>
    <comment ref="BY77" authorId="9" shapeId="0" xr:uid="{E24C47ED-AF23-45CE-8068-BE9D9513AF30}">
      <text>
        <t>[Threaded comment]
Your version of Excel allows you to read this threaded comment; however, any edits to it will get removed if the file is opened in a newer version of Excel. Learn more: https://go.microsoft.com/fwlink/?linkid=870924
Comment:
    5/17/2021 Bought 35 PG [Procter &amp; Gamble) @137.77 ($4,821.95) [beta =  0.59]
5/21/2021 Bought 10 more PG @138.471 ($1,384.71)
Total is 45 shares @137.926 ($6,206.66)</t>
      </text>
    </comment>
    <comment ref="CC77" authorId="0" shapeId="0" xr:uid="{2FFC8442-C20D-4BF5-AA9D-689AADA44CEC}">
      <text>
        <r>
          <rPr>
            <b/>
            <sz val="9"/>
            <color indexed="81"/>
            <rFont val="Tahoma"/>
            <family val="2"/>
          </rPr>
          <t>Rob Squire:</t>
        </r>
        <r>
          <rPr>
            <sz val="9"/>
            <color indexed="81"/>
            <rFont val="Tahoma"/>
            <family val="2"/>
          </rPr>
          <t xml:space="preserve">
Xferred all 1,768.498  to new Rob's IRA Managed - Bonds acct</t>
        </r>
      </text>
    </comment>
    <comment ref="CD77" authorId="0" shapeId="0" xr:uid="{D97FCD18-8B31-461B-824B-31424EA481D6}">
      <text>
        <r>
          <rPr>
            <b/>
            <sz val="9"/>
            <color indexed="81"/>
            <rFont val="Tahoma"/>
            <family val="2"/>
          </rPr>
          <t>Rob Squire:</t>
        </r>
        <r>
          <rPr>
            <sz val="9"/>
            <color indexed="81"/>
            <rFont val="Tahoma"/>
            <family val="2"/>
          </rPr>
          <t xml:space="preserve">
Xferred all 18,762.134 to new Rob's IRA Managed - Bonds acct</t>
        </r>
      </text>
    </comment>
    <comment ref="CM77" authorId="10" shapeId="0" xr:uid="{A2B79912-0971-4CBE-841A-4ECE3732D0A1}">
      <text>
        <t>[Threaded comment]
Your version of Excel allows you to read this threaded comment; however, any edits to it will get removed if the file is opened in a newer version of Excel. Learn more: https://go.microsoft.com/fwlink/?linkid=870924
Comment:
    5/17/2021 Bought 150 VEA @51.375 ($7,706.25) (tax managed??) [beta =  1.03]</t>
      </text>
    </comment>
    <comment ref="DL77" authorId="0" shapeId="0" xr:uid="{6BC3A2CC-CB61-44F5-809E-E53CC87AC114}">
      <text>
        <r>
          <rPr>
            <b/>
            <sz val="9"/>
            <color indexed="81"/>
            <rFont val="Tahoma"/>
            <family val="2"/>
          </rPr>
          <t>Rob Squire:</t>
        </r>
        <r>
          <rPr>
            <sz val="9"/>
            <color indexed="81"/>
            <rFont val="Tahoma"/>
            <family val="2"/>
          </rPr>
          <t xml:space="preserve">
5/21/2021 Bought 300 JPST [JP Morgan ETF] @50.745 ($15,223.50)
Total is 300 shares
Cost basis is 50.745 ($15,223.50)</t>
        </r>
      </text>
    </comment>
    <comment ref="DM77" authorId="11" shapeId="0" xr:uid="{6FA084FE-0DC6-4909-BA50-53E26D78BFA5}">
      <text>
        <t>[Threaded comment]
Your version of Excel allows you to read this threaded comment; however, any edits to it will get removed if the file is opened in a newer version of Excel. Learn more: https://go.microsoft.com/fwlink/?linkid=870924
Comment:
    5/21/2021 Bought 125 MBB [ISHARES MBS ETF] @108.355 ($13,544.38)</t>
      </text>
    </comment>
    <comment ref="DN77" authorId="0" shapeId="0" xr:uid="{B49C2C19-8C3B-4CEA-8F77-6FC633F55D64}">
      <text>
        <r>
          <rPr>
            <b/>
            <sz val="9"/>
            <color indexed="81"/>
            <rFont val="Tahoma"/>
            <family val="2"/>
          </rPr>
          <t>Rob Squire:</t>
        </r>
        <r>
          <rPr>
            <sz val="9"/>
            <color indexed="81"/>
            <rFont val="Tahoma"/>
            <family val="2"/>
          </rPr>
          <t xml:space="preserve">
5/21/2021 Bought 300 SCHO [Schwab Strategic TR Short Term US] @51.2916 ($15,387.48)
Total is 300 shares
Cost basis is 51.2916 ($15,387.48)</t>
        </r>
      </text>
    </comment>
    <comment ref="DP77" authorId="12" shapeId="0" xr:uid="{EFA4B870-44EC-4548-B10B-362FEF9C16B7}">
      <text>
        <t>[Threaded comment]
Your version of Excel allows you to read this threaded comment; however, any edits to it will get removed if the file is opened in a newer version of Excel. Learn more: https://go.microsoft.com/fwlink/?linkid=870924
Comment:
    5/17/2021 Bought 250 SCHR @ 56.701 ($14,175.25) (Treasure ETF, so beta ~0)</t>
      </text>
    </comment>
    <comment ref="DQ77" authorId="0" shapeId="0" xr:uid="{7469DCB7-4D07-4AE0-A71F-B05D7B1AA2F0}">
      <text>
        <r>
          <rPr>
            <b/>
            <sz val="9"/>
            <color indexed="81"/>
            <rFont val="Tahoma"/>
            <family val="2"/>
          </rPr>
          <t>Rob Squire:</t>
        </r>
        <r>
          <rPr>
            <sz val="9"/>
            <color indexed="81"/>
            <rFont val="Tahoma"/>
            <family val="2"/>
          </rPr>
          <t xml:space="preserve">
5/21/2021 Bought 150 STIP [ISHARES 0-5 Year TIPS Bond ETF] @106.585 ($15,987.75)
Total is 150 shares
Cost basis is 106.585 ($15,987.75)</t>
        </r>
      </text>
    </comment>
    <comment ref="DR77" authorId="13" shapeId="0" xr:uid="{06027989-065F-4EA9-BD53-EC6B221D2F79}">
      <text>
        <t>[Threaded comment]
Your version of Excel allows you to read this threaded comment; however, any edits to it will get removed if the file is opened in a newer version of Excel. Learn more: https://go.microsoft.com/fwlink/?linkid=870924
Comment:
    5/21/2021 Bought 100 VCIT [Vanguard Int Term Corp Bond] @93.985 ($9,398.50)</t>
      </text>
    </comment>
    <comment ref="DU77" authorId="0" shapeId="0" xr:uid="{73DB7402-1E0E-4C65-ACE0-61C126BD2A6A}">
      <text>
        <r>
          <rPr>
            <b/>
            <sz val="9"/>
            <color indexed="81"/>
            <rFont val="Tahoma"/>
            <family val="2"/>
          </rPr>
          <t>Rob Squire:</t>
        </r>
        <r>
          <rPr>
            <sz val="9"/>
            <color indexed="81"/>
            <rFont val="Tahoma"/>
            <family val="2"/>
          </rPr>
          <t xml:space="preserve">
5/21/2021 Bought 175 VCSH [Vanguard Scottsdale FDS Short Term Corporate] @82.795 ($14,489.13)
Total is 175 shares
Cost basis is 82.795 ($14,489.13)</t>
        </r>
      </text>
    </comment>
    <comment ref="EE77" authorId="0" shapeId="0" xr:uid="{160ADFD8-22B1-402A-ACDA-0C8949AFAD4F}">
      <text>
        <r>
          <rPr>
            <b/>
            <sz val="9"/>
            <color indexed="81"/>
            <rFont val="Tahoma"/>
            <family val="2"/>
          </rPr>
          <t>Rob Squire:</t>
        </r>
        <r>
          <rPr>
            <sz val="9"/>
            <color indexed="81"/>
            <rFont val="Tahoma"/>
            <family val="2"/>
          </rPr>
          <t xml:space="preserve">
5/24/2021 Bought 250 shares of IGIB ISHARES 5-10 Yr invt @ 59.885 ($14,971.25)
Total is 250 shares
Cost basis is 59.885 ($14,971.25)</t>
        </r>
      </text>
    </comment>
    <comment ref="EF77" authorId="0" shapeId="0" xr:uid="{C2963766-3117-4A9B-ABFE-78C05A1E80AB}">
      <text>
        <r>
          <rPr>
            <b/>
            <sz val="9"/>
            <color indexed="81"/>
            <rFont val="Tahoma"/>
            <family val="2"/>
          </rPr>
          <t>Rob Squire:</t>
        </r>
        <r>
          <rPr>
            <sz val="9"/>
            <color indexed="81"/>
            <rFont val="Tahoma"/>
            <family val="2"/>
          </rPr>
          <t xml:space="preserve">
5/24/2021 Bought 260 shares of IGSB ISHARES 1-5 Yr Invt @54.865 ($14,264.90)
Total is 260 shares
Cost basis is 54.865 ($14,264.90)</t>
        </r>
      </text>
    </comment>
    <comment ref="KC77" authorId="0" shapeId="0" xr:uid="{5C0C01AA-9EAC-44EA-86AE-268F03A07449}">
      <text>
        <r>
          <rPr>
            <b/>
            <sz val="9"/>
            <color indexed="81"/>
            <rFont val="Tahoma"/>
            <family val="2"/>
          </rPr>
          <t>Rob Squire:</t>
        </r>
        <r>
          <rPr>
            <sz val="9"/>
            <color indexed="81"/>
            <rFont val="Tahoma"/>
            <family val="2"/>
          </rPr>
          <t xml:space="preserve">
Bought 5 Visa @ 232.3387 ($1,161.69)
Total of 85 shares
Average cost basis is 216.29 ($18,384.89)</t>
        </r>
      </text>
    </comment>
    <comment ref="LH77" authorId="14" shapeId="0" xr:uid="{7E49E121-FB72-4FE0-9D95-B336DFC7BBD2}">
      <text>
        <t>[Threaded comment]
Your version of Excel allows you to read this threaded comment; however, any edits to it will get removed if the file is opened in a newer version of Excel. Learn more: https://go.microsoft.com/fwlink/?linkid=870924
Comment:
    5/17/2021Bought 1 AMZN @ 3263.98 ($3,263.98) [beta =  0.85]
5/21/2021Sold all 1 AMZN @3209.4 ($3,209.38)</t>
      </text>
    </comment>
    <comment ref="LI77" authorId="0" shapeId="0" xr:uid="{4B44AF51-D358-4977-911C-0C1FD43E15D1}">
      <text>
        <r>
          <rPr>
            <b/>
            <sz val="9"/>
            <color indexed="81"/>
            <rFont val="Tahoma"/>
            <family val="2"/>
          </rPr>
          <t>Rob Squire:</t>
        </r>
        <r>
          <rPr>
            <sz val="9"/>
            <color indexed="81"/>
            <rFont val="Tahoma"/>
            <family val="2"/>
          </rPr>
          <t xml:space="preserve">
5/21/2021 Bought 5 BACPRL [Bank of America 7.25% CNV preferred] @1408 ($7,040.00)
Total is 5 shares
Cost basis is 1408 ($7,040.00)</t>
        </r>
      </text>
    </comment>
    <comment ref="LK77" authorId="15" shapeId="0" xr:uid="{202E36AC-7484-4FF6-9AF5-D04D0FA00DAA}">
      <text>
        <t>[Threaded comment]
Your version of Excel allows you to read this threaded comment; however, any edits to it will get removed if the file is opened in a newer version of Excel. Learn more: https://go.microsoft.com/fwlink/?linkid=870924
Comment:
    5/21/2021 Bought 125 BCE [BCE Inc] @49.56 ($6,195.00)</t>
      </text>
    </comment>
    <comment ref="LO77" authorId="16" shapeId="0" xr:uid="{E4855E2D-4DBA-4D32-A58C-886C9920E596}">
      <text>
        <t>[Threaded comment]
Your version of Excel allows you to read this threaded comment; however, any edits to it will get removed if the file is opened in a newer version of Excel. Learn more: https://go.microsoft.com/fwlink/?linkid=870924
Comment:
    5/17/2021 Bought 50 CTSH @ 70.1716 ($3,508.58) [beta =  0.84]
5/21/2021 Sold all 50 CTSH @ 71.445 ($3,572.23)</t>
      </text>
    </comment>
    <comment ref="LP77" authorId="17" shapeId="0" xr:uid="{84545132-6001-402C-BAA8-54CBAF10F8D1}">
      <text>
        <t>[Threaded comment]
Your version of Excel allows you to read this threaded comment; however, any edits to it will get removed if the file is opened in a newer version of Excel. Learn more: https://go.microsoft.com/fwlink/?linkid=870924
Comment:
    5/14/2021 Xferred in 406.558 shares from Rob's IRA
5/17/2021 Sold all 406 CWB @ 81.025 ($32,895.98)</t>
      </text>
    </comment>
    <comment ref="LS77" authorId="18" shapeId="0" xr:uid="{39221D83-1A3A-4D2C-AB7A-7BF300C0A301}">
      <text>
        <t>[Threaded comment]
Your version of Excel allows you to read this threaded comment; however, any edits to it will get removed if the file is opened in a newer version of Excel. Learn more: https://go.microsoft.com/fwlink/?linkid=870924
Comment:
    5/17/2021 Bought 10 FB @ 315.0273 ($3,150.27) [beta =  1.29]
5/21/2021 Sold all 10 FB @317.521 ($3,175.19)</t>
      </text>
    </comment>
    <comment ref="LU77" authorId="0" shapeId="0" xr:uid="{52F66FB8-D8FC-4AF2-BC08-9B064CA4BFC9}">
      <text>
        <r>
          <rPr>
            <b/>
            <sz val="9"/>
            <color indexed="81"/>
            <rFont val="Tahoma"/>
            <family val="2"/>
          </rPr>
          <t>Rob Squire:</t>
        </r>
        <r>
          <rPr>
            <sz val="9"/>
            <color indexed="81"/>
            <rFont val="Tahoma"/>
            <family val="2"/>
          </rPr>
          <t xml:space="preserve">
5/21/2021 Bought 500 FLRN [SPDR Ser Tr Blomberg BRC Inv] @30.655 ($15,327.50)
Total of 500 shares
Cost basis is 30.655 ($15,327.50)</t>
        </r>
      </text>
    </comment>
    <comment ref="LV77" authorId="19" shapeId="0" xr:uid="{24AF8350-C691-4B2D-BC65-FF28F3EDBBCA}">
      <text>
        <t>[Threaded comment]
Your version of Excel allows you to read this threaded comment; however, any edits to it will get removed if the file is opened in a newer version of Excel. Learn more: https://go.microsoft.com/fwlink/?linkid=870924
Comment:
    5/14/2021 Transferred in from Rob's IRA 4,007.128 shares
5/17/2021 Sold all 4,007.228 FSHBX @ 8.74 ($35,023.17)</t>
      </text>
    </comment>
    <comment ref="LW77" authorId="20" shapeId="0" xr:uid="{A309B543-942D-40A1-BF66-4F7480BD732C}">
      <text>
        <t>[Threaded comment]
Your version of Excel allows you to read this threaded comment; however, any edits to it will get removed if the file is opened in a newer version of Excel. Learn more: https://go.microsoft.com/fwlink/?linkid=870924
Comment:
    5/17/2021 Bought 20 GD @ 191.8643 ($3,837.29) [beta =  1.24]
5/21/2021 Sold all 20 GD @189.89 ($3,797.78)</t>
      </text>
    </comment>
    <comment ref="LX77" authorId="21" shapeId="0" xr:uid="{88182E4B-7917-4853-82AC-4DDD51033D18}">
      <text>
        <t>[Threaded comment]
Your version of Excel allows you to read this threaded comment; however, any edits to it will get removed if the file is opened in a newer version of Excel. Learn more: https://go.microsoft.com/fwlink/?linkid=870924
Comment:
    5/17/2021 Bought 2 GOOGL @ 2282.495 ($4,564.99) [beta = 1.03]
5/21/2021 Sold all 2 GOOGL @2292.92 ($4,585.81)</t>
      </text>
    </comment>
    <comment ref="LY77" authorId="0" shapeId="0" xr:uid="{59295D0C-153C-48B5-94D6-36403176D0A6}">
      <text>
        <r>
          <rPr>
            <b/>
            <sz val="9"/>
            <color indexed="81"/>
            <rFont val="Tahoma"/>
            <family val="2"/>
          </rPr>
          <t>Rob Squire:</t>
        </r>
        <r>
          <rPr>
            <sz val="9"/>
            <color indexed="81"/>
            <rFont val="Tahoma"/>
            <family val="2"/>
          </rPr>
          <t xml:space="preserve">
5/21/2021 Bought 300 GSPRD [Goldman Sachs Group Inc 3.955% preferred @24.6916 ($7,407.48)
Total of 300 shares
Cost bais is 24.6916 ($7,407.48)</t>
        </r>
      </text>
    </comment>
    <comment ref="MA77" authorId="22" shapeId="0" xr:uid="{4E5CBF85-5183-45E2-9048-2C60546F7D4D}">
      <text>
        <t>[Threaded comment]
Your version of Excel allows you to read this threaded comment; however, any edits to it will get removed if the file is opened in a newer version of Excel. Learn more: https://go.microsoft.com/fwlink/?linkid=870924
Comment:
    5/14/2021 Xferred in 310.963 shares from Rob's IRA
5/17/2021 Sold 310 ICVT @ 94.405 ($29,265.40)</t>
      </text>
    </comment>
    <comment ref="MB77" authorId="0" shapeId="0" xr:uid="{6701C3F9-1B68-425F-8ED1-3FB32AA776E6}">
      <text>
        <r>
          <rPr>
            <b/>
            <sz val="9"/>
            <color indexed="81"/>
            <rFont val="Tahoma"/>
            <family val="2"/>
          </rPr>
          <t>Rob Squire:</t>
        </r>
        <r>
          <rPr>
            <sz val="9"/>
            <color indexed="81"/>
            <rFont val="Tahoma"/>
            <family val="2"/>
          </rPr>
          <t xml:space="preserve">
5/21/2021 Bought 40 JNJ [Johnson &amp; Johnson] @171.12 ($6,844.80)
Total is 40 shares
Cost basis is 171.12 ($6,844.80)</t>
        </r>
      </text>
    </comment>
    <comment ref="MC77" authorId="23" shapeId="0" xr:uid="{8A611523-4C7B-4F2A-B771-8CDF5CE1C244}">
      <text>
        <t>[Threaded comment]
Your version of Excel allows you to read this threaded comment; however, any edits to it will get removed if the file is opened in a newer version of Excel. Learn more: https://go.microsoft.com/fwlink/?linkid=870924
Comment:
    5/17/2021 Bought 30 JPM @ 164.375 ($4,931.25) [beta =  1.28]
5/21/2021 Sold all 30 JPM @162.9524 ($4,888.54)</t>
      </text>
    </comment>
    <comment ref="MD77" authorId="0" shapeId="0" xr:uid="{315016D4-AD2C-45D9-A0E6-661560EDA4CD}">
      <text>
        <r>
          <rPr>
            <b/>
            <sz val="9"/>
            <color indexed="81"/>
            <rFont val="Tahoma"/>
            <family val="2"/>
          </rPr>
          <t>Rob Squire:</t>
        </r>
        <r>
          <rPr>
            <sz val="9"/>
            <color indexed="81"/>
            <rFont val="Tahoma"/>
            <family val="2"/>
          </rPr>
          <t xml:space="preserve">
5/21/2021 Bought 300 JPST [JP Morgan ETF] @50.745 ($15,223.50)
Total is 300 shares
Cost basis is 50.745 ($15,223.50)</t>
        </r>
      </text>
    </comment>
    <comment ref="ME77" authorId="24" shapeId="0" xr:uid="{6BC2FCCB-08F3-43A5-AB54-99BE6E776AD2}">
      <text>
        <t>[Threaded comment]
Your version of Excel allows you to read this threaded comment; however, any edits to it will get removed if the file is opened in a newer version of Excel. Learn more: https://go.microsoft.com/fwlink/?linkid=870924
Comment:
    5/17/2021 Bought 80 KO [Coca Cola] @ 54.6001 ($4,368.01) [beta =  0.81]
5/21/2021 Bought 40 more KO @54.5608 ($2,182.43)
Total is 120 shares at 54.587 ($6,550.44)</t>
      </text>
    </comment>
    <comment ref="MH77" authorId="25" shapeId="0" xr:uid="{139ADD60-EA07-4275-8960-450E2647735E}">
      <text>
        <t>[Threaded comment]
Your version of Excel allows you to read this threaded comment; however, any edits to it will get removed if the file is opened in a newer version of Excel. Learn more: https://go.microsoft.com/fwlink/?linkid=870924
Comment:
    5/21/2021 Bought 16 LMT [Lockheed Martin] @387.26 ($6,196.16)</t>
      </text>
    </comment>
    <comment ref="MI77" authorId="26" shapeId="0" xr:uid="{8F077C27-1240-4B4F-91A8-6C7B3DD52070}">
      <text>
        <t>[Threaded comment]
Your version of Excel allows you to read this threaded comment; however, any edits to it will get removed if the file is opened in a newer version of Excel. Learn more: https://go.microsoft.com/fwlink/?linkid=870924
Comment:
    5/21/2021 Bought 125 MBB [ISHARES MBS ETF] @108.355 ($13,544.38)</t>
      </text>
    </comment>
    <comment ref="MJ77" authorId="27" shapeId="0" xr:uid="{12D0E4C0-3EF3-493B-91B5-5AAA39C7310E}">
      <text>
        <t>[Threaded comment]
Your version of Excel allows you to read this threaded comment; however, any edits to it will get removed if the file is opened in a newer version of Excel. Learn more: https://go.microsoft.com/fwlink/?linkid=870924
Comment:
    5/17/2021 Bought 20 MMM @ 205.105 ($4,102.10) [beta =  0.78]
5/21/2021 Sold all 20 MMM @202.0632 ($4,041.23)</t>
      </text>
    </comment>
    <comment ref="MK77" authorId="28" shapeId="0" xr:uid="{C7E98E78-EDC1-454D-956C-686FBC1F5010}">
      <text>
        <t>[Threaded comment]
Your version of Excel allows you to read this threaded comment; however, any edits to it will get removed if the file is opened in a newer version of Excel. Learn more: https://go.microsoft.com/fwlink/?linkid=870924
Comment:
    5/17/2021 Bought 15 MSFT @ 244.23 ($3,663.45) [beta =  0.92]
5/21/2021 Sold all 15 MSFT @245.475 ($3,682.11)</t>
      </text>
    </comment>
    <comment ref="ML77" authorId="0" shapeId="0" xr:uid="{F01F69F4-3D30-4770-A3F0-AB3EF514E30E}">
      <text>
        <r>
          <rPr>
            <b/>
            <sz val="9"/>
            <color indexed="81"/>
            <rFont val="Tahoma"/>
            <family val="2"/>
          </rPr>
          <t>Rob Squire:</t>
        </r>
        <r>
          <rPr>
            <sz val="9"/>
            <color indexed="81"/>
            <rFont val="Tahoma"/>
            <family val="2"/>
          </rPr>
          <t xml:space="preserve">
5/21/2021 Bought 55 NSRGY [Nestles] @123.15 ($6,773.25)
Total is 55 shares
Cost basis is 123.15 ($6,773.25)</t>
        </r>
      </text>
    </comment>
    <comment ref="MM77" authorId="0" shapeId="0" xr:uid="{79E526D4-5CC0-43C8-BA65-8C4FBDCAB739}">
      <text>
        <r>
          <rPr>
            <b/>
            <sz val="9"/>
            <color indexed="81"/>
            <rFont val="Tahoma"/>
            <family val="2"/>
          </rPr>
          <t>Rob Squire:</t>
        </r>
        <r>
          <rPr>
            <sz val="9"/>
            <color indexed="81"/>
            <rFont val="Tahoma"/>
            <family val="2"/>
          </rPr>
          <t xml:space="preserve">
5/21/2021 Bought 100 PEG [Public Svc Enterprise Group] @62.85 ($6,285.00)
Total is 100 shares
Cost basis is 62.85 ($6,285.00)</t>
        </r>
      </text>
    </comment>
    <comment ref="MN77" authorId="29" shapeId="0" xr:uid="{2C5DDB0F-0B2F-42AA-B507-3B7E0878D0FD}">
      <text>
        <t>[Threaded comment]
Your version of Excel allows you to read this threaded comment; however, any edits to it will get removed if the file is opened in a newer version of Excel. Learn more: https://go.microsoft.com/fwlink/?linkid=870924
Comment:
    5/17/2021 Bought 35 PG [Procter &amp; Gamble) @137.77 ($4,821.95) [beta =  0.59]
5/21/2021 Bought 10 more PG @138.471 ($1,384.71)
Total is 45 shares @137.926 ($6,206.66)</t>
      </text>
    </comment>
    <comment ref="MO77" authorId="30" shapeId="0" xr:uid="{71E29C0D-3229-40C8-B9BE-A7B1D4C76727}">
      <text>
        <t>[Threaded comment]
Your version of Excel allows you to read this threaded comment; however, any edits to it will get removed if the file is opened in a newer version of Excel. Learn more: https://go.microsoft.com/fwlink/?linkid=870924
Comment:
    5/17/2021 Bought 45 PM [Phillip Morris] @ 97.57 ($4,390.65) [beta =  0.8]
5/21/2021 Bought 20 PM @97.30 ($1,946.00)
Total is 65 shares @97.487 ($6,336.65)</t>
      </text>
    </comment>
    <comment ref="MP77" authorId="31" shapeId="0" xr:uid="{79742A59-5BE3-4B9E-B7A3-B8DFEC371B20}">
      <text>
        <t>[Threaded comment]
Your version of Excel allows you to read this threaded comment; however, any edits to it will get removed if the file is opened in a newer version of Excel. Learn more: https://go.microsoft.com/fwlink/?linkid=870924
Comment:
    5/21/2021 Bought 75 PNW [Pinnacle West Capital Corp Com NPV] @85.9434 ($6,445.76)</t>
      </text>
    </comment>
    <comment ref="MR77" authorId="32" shapeId="0" xr:uid="{66926A9B-215B-451E-A89A-34836187BA69}">
      <text>
        <t>[Threaded comment]
Your version of Excel allows you to read this threaded comment; however, any edits to it will get removed if the file is opened in a newer version of Excel. Learn more: https://go.microsoft.com/fwlink/?linkid=870924
Comment:
    5/21/2021 Bought 150 RHHBY [Roche Holdings] @43.297 ($6,494.55)</t>
      </text>
    </comment>
    <comment ref="MS77" authorId="33" shapeId="0" xr:uid="{F0D42280-AF28-4C11-A4FC-BD141AF9558F}">
      <text>
        <t>[Threaded comment]
Your version of Excel allows you to read this threaded comment; however, any edits to it will get removed if the file is opened in a newer version of Excel. Learn more: https://go.microsoft.com/fwlink/?linkid=870924
Comment:
    5/17/2021 Bought 40 SBUX @ 110.64 ($4,425.60) [beta =  1.01]
5/21/2021 Sold all 40 SBUX @110.7618 ($4,430.44)</t>
      </text>
    </comment>
    <comment ref="MT77" authorId="0" shapeId="0" xr:uid="{2579F349-04F5-45DB-9915-C6B981733BC6}">
      <text>
        <r>
          <rPr>
            <b/>
            <sz val="9"/>
            <color indexed="81"/>
            <rFont val="Tahoma"/>
            <family val="2"/>
          </rPr>
          <t>Rob Squire:</t>
        </r>
        <r>
          <rPr>
            <sz val="9"/>
            <color indexed="81"/>
            <rFont val="Tahoma"/>
            <family val="2"/>
          </rPr>
          <t xml:space="preserve">
5/21/2021 Bought 300 SCHO [Schwab Strategic TR Short Term US] @51.2916 ($15,387.48)
Total is 300 shares
Cost basis is 51.2916 ($15,387.48)</t>
        </r>
      </text>
    </comment>
    <comment ref="MV77" authorId="34" shapeId="0" xr:uid="{817766DE-C3C8-48FB-92E3-31F724394A68}">
      <text>
        <t>[Threaded comment]
Your version of Excel allows you to read this threaded comment; however, any edits to it will get removed if the file is opened in a newer version of Excel. Learn more: https://go.microsoft.com/fwlink/?linkid=870924
Comment:
    5/17/2021 Bought 250 SCHR @ 56.701 ($14,175.25) (Treasure ETF, so beta ~0)</t>
      </text>
    </comment>
    <comment ref="MW77" authorId="35" shapeId="0" xr:uid="{0BCF4AAC-64FB-41EE-87E0-219A16DE8A6A}">
      <text>
        <t>[Threaded comment]
Your version of Excel allows you to read this threaded comment; however, any edits to it will get removed if the file is opened in a newer version of Excel. Learn more: https://go.microsoft.com/fwlink/?linkid=870924
Comment:
    5/21/2021 Bought 100 SHYG [ISHARES Trust 0-5 yr High Yield Corp Bd] @45.76 ($4,576.00)</t>
      </text>
    </comment>
    <comment ref="MX77" authorId="0" shapeId="0" xr:uid="{58EAE67A-6EC8-42E2-AFAD-43A3992E9BF2}">
      <text>
        <r>
          <rPr>
            <b/>
            <sz val="9"/>
            <color indexed="81"/>
            <rFont val="Tahoma"/>
            <family val="2"/>
          </rPr>
          <t>Rob Squire:</t>
        </r>
        <r>
          <rPr>
            <sz val="9"/>
            <color indexed="81"/>
            <rFont val="Tahoma"/>
            <family val="2"/>
          </rPr>
          <t xml:space="preserve">
5/21/2021 Bought 150 STIP [ISHARES 0-5 Year TIPS Bond ETF] @106.585 ($15,987.75)
Total is 150 shares
Cost basis is 106.585 ($15,987.75)</t>
        </r>
      </text>
    </comment>
    <comment ref="MY77" authorId="36" shapeId="0" xr:uid="{F497991D-51EC-4BE4-BE1C-85C014036252}">
      <text>
        <t>[Threaded comment]
Your version of Excel allows you to read this threaded comment; however, any edits to it will get removed if the file is opened in a newer version of Excel. Learn more: https://go.microsoft.com/fwlink/?linkid=870924
Comment:
    5/14/2021 Xferred in 1,768.498 shares from Rob's IRA
5/17/2021  Sold all 1,768.498 THOPX @ 11.05 ($19,541.90)</t>
      </text>
    </comment>
    <comment ref="MZ77" authorId="37" shapeId="0" xr:uid="{AA6F5829-8882-43E6-BA40-F6B639C64359}">
      <text>
        <t>[Threaded comment]
Your version of Excel allows you to read this threaded comment; however, any edits to it will get removed if the file is opened in a newer version of Excel. Learn more: https://go.microsoft.com/fwlink/?linkid=870924
Comment:
    5/14/2021 Xferred in 18,762.134 shares from Rob's IRA
5/17/2021 Sold all 18,762.134 TRBUX @5.09 ($95,499.26)</t>
      </text>
    </comment>
    <comment ref="NB77" authorId="38" shapeId="0" xr:uid="{9E805FEF-6461-4F8E-BCD1-BE566952F256}">
      <text>
        <t>[Threaded comment]
Your version of Excel allows you to read this threaded comment; however, any edits to it will get removed if the file is opened in a newer version of Excel. Learn more: https://go.microsoft.com/fwlink/?linkid=870924
Comment:
    5/17/2021 Bought 20 UNP @ 224.4602 ($4,489.20) [beta =  1.2]
5/21/2021 Sold all 20 UNP @222.10 ($4,441.97)</t>
      </text>
    </comment>
    <comment ref="NC77" authorId="39" shapeId="0" xr:uid="{0D1672C4-7E46-49A6-AB5E-C09E720A0D3F}">
      <text>
        <t>[Threaded comment]
Your version of Excel allows you to read this threaded comment; however, any edits to it will get removed if the file is opened in a newer version of Excel. Learn more: https://go.microsoft.com/fwlink/?linkid=870924
Comment:
    5/21/2021 Bought 100 VCIT [Vanguard Int Term Corp Bond] @93.985 ($9,398.50)</t>
      </text>
    </comment>
    <comment ref="NF77" authorId="0" shapeId="0" xr:uid="{6AE254AC-6F66-432F-9FFA-71607AFAE178}">
      <text>
        <r>
          <rPr>
            <b/>
            <sz val="9"/>
            <color indexed="81"/>
            <rFont val="Tahoma"/>
            <family val="2"/>
          </rPr>
          <t>Rob Squire:</t>
        </r>
        <r>
          <rPr>
            <sz val="9"/>
            <color indexed="81"/>
            <rFont val="Tahoma"/>
            <family val="2"/>
          </rPr>
          <t xml:space="preserve">
5/21/2021 Bought 175 VCSH [Vanguard Scottsdale FDS Short Term Corporate] @82.795 ($14,489.13)
Total is 175 shares
Cost basis is 82.795 ($14,489.13)</t>
        </r>
      </text>
    </comment>
    <comment ref="NG77" authorId="40" shapeId="0" xr:uid="{3C62E2F1-18CB-4735-A4E3-D22C45F77E2B}">
      <text>
        <t>[Threaded comment]
Your version of Excel allows you to read this threaded comment; however, any edits to it will get removed if the file is opened in a newer version of Excel. Learn more: https://go.microsoft.com/fwlink/?linkid=870924
Comment:
    5/17/2021 Bought 150 VEA @51.375 ($7,706.25) (tax managed??) [beta =  1.03]</t>
      </text>
    </comment>
    <comment ref="NH77" authorId="0" shapeId="0" xr:uid="{EA8D575F-94FB-4B52-B5CF-5F5085B0BD7E}">
      <text>
        <r>
          <rPr>
            <b/>
            <sz val="9"/>
            <color indexed="81"/>
            <rFont val="Tahoma"/>
            <family val="2"/>
          </rPr>
          <t>Rob Squire:</t>
        </r>
        <r>
          <rPr>
            <sz val="9"/>
            <color indexed="81"/>
            <rFont val="Tahoma"/>
            <family val="2"/>
          </rPr>
          <t xml:space="preserve">
5/21/2021 Bought 55 VNQ [Vanguard Real Estate ETF] @ 98.06 ($5,393.30)
Total is 55 shares
Cost basis is 98.06 ($5,393.30)</t>
        </r>
      </text>
    </comment>
    <comment ref="NI77" authorId="0" shapeId="0" xr:uid="{3649E016-316C-4C02-A12B-4E04663813C4}">
      <text>
        <r>
          <rPr>
            <b/>
            <sz val="9"/>
            <color indexed="81"/>
            <rFont val="Tahoma"/>
            <family val="2"/>
          </rPr>
          <t>Rob Squire:</t>
        </r>
        <r>
          <rPr>
            <sz val="9"/>
            <color indexed="81"/>
            <rFont val="Tahoma"/>
            <family val="2"/>
          </rPr>
          <t xml:space="preserve">
5/21/2021 Bought 300 VUSB [Vanguard Bd Index FDS Vanguard Ultra] @50.115 ($15,034.50)
Total is 300
Cost basis is 50.115 ($15,034.50)</t>
        </r>
      </text>
    </comment>
    <comment ref="NJ77" authorId="41" shapeId="0" xr:uid="{8CFCCB43-E1EC-4A65-87FB-8C194B88D11E}">
      <text>
        <t>[Threaded comment]
Your version of Excel allows you to read this threaded comment; however, any edits to it will get removed if the file is opened in a newer version of Excel. Learn more: https://go.microsoft.com/fwlink/?linkid=870924
Comment:
    5/17/2021 Bought 75 VWO @ 51.79 ($3,884.25) [beta =  0.98]
5/21/20321 Sold all 75 VWO @52.1217 ($3,909.11)</t>
      </text>
    </comment>
    <comment ref="NK77" authorId="42" shapeId="0" xr:uid="{529C7615-1298-48B6-BC96-4D19094BF520}">
      <text>
        <t>[Threaded comment]
Your version of Excel allows you to read this threaded comment; however, any edits to it will get removed if the file is opened in a newer version of Excel. Learn more: https://go.microsoft.com/fwlink/?linkid=870924
Comment:
    5/17/2021 Bought 80 VZ [Verizon] @ 57.975 ($4,638.00) [beta =  0.48]
5/21/2021 Bought 40 VZ @ 56.94 ($2,277.60)
Total of 120 VZ @57.63 ($6,915.60)</t>
      </text>
    </comment>
    <comment ref="NM77" authorId="0" shapeId="0" xr:uid="{F6A6DD62-5A8D-409A-B21B-909EAEF7BD2E}">
      <text>
        <r>
          <rPr>
            <b/>
            <sz val="9"/>
            <color indexed="81"/>
            <rFont val="Tahoma"/>
            <family val="2"/>
          </rPr>
          <t>Rob Squire:</t>
        </r>
        <r>
          <rPr>
            <sz val="9"/>
            <color indexed="81"/>
            <rFont val="Tahoma"/>
            <family val="2"/>
          </rPr>
          <t xml:space="preserve">
5/17/2021 Bought 4 WFCPRL [Wells Fargo Con New PERP preferred@ 1447.5 ($5,790.00) [beta =  0.38]
5/21/2021 Bought 1 WFCPRL @1457.02 ($1457.02)
Total of 5 shares 
Cost basis is @1449.404 ($7,247.02)</t>
        </r>
      </text>
    </comment>
    <comment ref="NY77" authorId="43" shapeId="0" xr:uid="{09DAEE8D-2365-4C89-BEB5-F9FB4F1599DB}">
      <text>
        <t>[Threaded comment]
Your version of Excel allows you to read this threaded comment; however, any edits to it will get removed if the file is opened in a newer version of Excel. Learn more: https://go.microsoft.com/fwlink/?linkid=870924
Comment:
    5/21/2021 Sold all 3,434.895 shares of FSHBX @ 8.74 ($30,020.98)</t>
      </text>
    </comment>
    <comment ref="OA77" authorId="0" shapeId="0" xr:uid="{FF25E0AE-DEEE-4DBE-937F-8A3098DDB3DF}">
      <text>
        <r>
          <rPr>
            <b/>
            <sz val="9"/>
            <color indexed="81"/>
            <rFont val="Tahoma"/>
            <family val="2"/>
          </rPr>
          <t>Rob Squire:</t>
        </r>
        <r>
          <rPr>
            <sz val="9"/>
            <color indexed="81"/>
            <rFont val="Tahoma"/>
            <family val="2"/>
          </rPr>
          <t xml:space="preserve">
5/24/2021 Bought 250 shares of IGIB ISHARES 5-10 Yr invt @ 59.885 ($14,971.25)
Total is 250 shares
Cost basis is 59.885 ($14,971.25)</t>
        </r>
      </text>
    </comment>
    <comment ref="OB77" authorId="0" shapeId="0" xr:uid="{069DD7F5-74E7-4AEE-BCDD-B6736B3C67B1}">
      <text>
        <r>
          <rPr>
            <b/>
            <sz val="9"/>
            <color indexed="81"/>
            <rFont val="Tahoma"/>
            <family val="2"/>
          </rPr>
          <t>Rob Squire:</t>
        </r>
        <r>
          <rPr>
            <sz val="9"/>
            <color indexed="81"/>
            <rFont val="Tahoma"/>
            <family val="2"/>
          </rPr>
          <t xml:space="preserve">
5/24/2021 Bought 260 shares of IGSB ISHARES 1-5 Yr Invt @54.865 ($14,264.90)
Total is 260 shares
Cost basis is 54.865 ($14,264.90)</t>
        </r>
      </text>
    </comment>
    <comment ref="P78" authorId="44" shapeId="0" xr:uid="{F51BB3B7-9DFA-4515-A1F3-BE56E00A46FF}">
      <text>
        <t>[Threaded comment]
Your version of Excel allows you to read this threaded comment; however, any edits to it will get removed if the file is opened in a newer version of Excel. Learn more: https://go.microsoft.com/fwlink/?linkid=870924
Comment:
    6/28/2021 Bought 2,714.932 shares THOPX @ 11.05 ($30,000.00)
Total of 6,974.76 shares at an avg of 11.038 $76,985.90</t>
      </text>
    </comment>
    <comment ref="DD78" authorId="0" shapeId="0" xr:uid="{D0F6AEDC-A259-4DDC-8754-82457C65F281}">
      <text>
        <r>
          <rPr>
            <b/>
            <sz val="9"/>
            <color indexed="81"/>
            <rFont val="Tahoma"/>
            <family val="2"/>
          </rPr>
          <t>Rob Squire:</t>
        </r>
        <r>
          <rPr>
            <sz val="9"/>
            <color indexed="81"/>
            <rFont val="Tahoma"/>
            <family val="2"/>
          </rPr>
          <t xml:space="preserve">
6/17/2021 Bought 20 ISHARES core US Aggregate Bond ETF (AGG) @115.0283 ($2,300.57)
Total is 20 shares
Cost baisi is 115.0283 ($2,300.57)</t>
        </r>
      </text>
    </comment>
    <comment ref="GF78" authorId="0" shapeId="0" xr:uid="{7656B3E4-EAF0-4471-B2AC-789B18C314D7}">
      <text>
        <r>
          <rPr>
            <b/>
            <sz val="9"/>
            <color indexed="81"/>
            <rFont val="Tahoma"/>
            <family val="2"/>
          </rPr>
          <t>Rob Squire:</t>
        </r>
        <r>
          <rPr>
            <sz val="9"/>
            <color indexed="81"/>
            <rFont val="Tahoma"/>
            <family val="2"/>
          </rPr>
          <t xml:space="preserve">
6/2/2021 Sold 50 ORCL @ 80.55 ($4,022.47)
Profit = $1,162.42
New total is 250 shares
6/23/2021 Sold 50 ORCL @78.3247 ($3,916.24)
Profit = $1,051.16
New total is 200 shares
Cost basis remains at 57.3016</t>
        </r>
      </text>
    </comment>
    <comment ref="HI78" authorId="0" shapeId="0" xr:uid="{E93F87AF-FECC-4F38-B65B-30AA95D934FE}">
      <text>
        <r>
          <rPr>
            <b/>
            <sz val="9"/>
            <color indexed="81"/>
            <rFont val="Tahoma"/>
            <family val="2"/>
          </rPr>
          <t>Rob Squire:</t>
        </r>
        <r>
          <rPr>
            <sz val="9"/>
            <color indexed="81"/>
            <rFont val="Tahoma"/>
            <family val="2"/>
          </rPr>
          <t xml:space="preserve">
7/7/21 Bought 150 ABBV @116.2397 ($17,435.96)
Total is 150 shares
Cost basis is 116.2397 ($17,435.96)</t>
        </r>
      </text>
    </comment>
    <comment ref="JP78" authorId="45" shapeId="0" xr:uid="{B6CF6789-680B-456E-A4F6-2DE2204A1F0A}">
      <text>
        <t>[Threaded comment]
Your version of Excel allows you to read this threaded comment; however, any edits to it will get removed if the file is opened in a newer version of Excel. Learn more: https://go.microsoft.com/fwlink/?linkid=870924
Comment:
    6/5/2021 Distribution spinoff from MRK.  21 shares @ 34.15 ($717.15</t>
      </text>
    </comment>
    <comment ref="LG78" authorId="0" shapeId="0" xr:uid="{D944ED3F-F714-461F-B2FD-5AA5CECF4257}">
      <text>
        <r>
          <rPr>
            <b/>
            <sz val="9"/>
            <color indexed="81"/>
            <rFont val="Tahoma"/>
            <family val="2"/>
          </rPr>
          <t>Rob Squire:</t>
        </r>
        <r>
          <rPr>
            <sz val="9"/>
            <color indexed="81"/>
            <rFont val="Tahoma"/>
            <family val="2"/>
          </rPr>
          <t xml:space="preserve">
6/17/2021 Bought 20 ISHARES core US Aggregate Bond ETF (AGG) @115.0283 ($2,300.57)
Total is 20 shares
Cost baisi is 115.0283 ($2,300.57)</t>
        </r>
      </text>
    </comment>
    <comment ref="OP78" authorId="0" shapeId="0" xr:uid="{0EC36543-9DDA-4FB6-995D-72A96879A229}">
      <text>
        <r>
          <rPr>
            <b/>
            <sz val="9"/>
            <color indexed="81"/>
            <rFont val="Tahoma"/>
            <family val="2"/>
          </rPr>
          <t>Rob Squire:</t>
        </r>
        <r>
          <rPr>
            <sz val="9"/>
            <color indexed="81"/>
            <rFont val="Tahoma"/>
            <family val="2"/>
          </rPr>
          <t xml:space="preserve">
6/28/2021 Bought 2,760.181 shares THOPX @ 11.05 ($30,500.00)
Total is 2,782.683 shares
Cost basis is $30,500
Note: dividends are automatically reinvested </t>
        </r>
      </text>
    </comment>
    <comment ref="EE79" authorId="0" shapeId="0" xr:uid="{BC104D73-F942-489E-9E8E-C4F31057F989}">
      <text>
        <r>
          <rPr>
            <b/>
            <sz val="9"/>
            <color indexed="81"/>
            <rFont val="Tahoma"/>
            <family val="2"/>
          </rPr>
          <t>Rob Squire:</t>
        </r>
        <r>
          <rPr>
            <sz val="9"/>
            <color indexed="81"/>
            <rFont val="Tahoma"/>
            <family val="2"/>
          </rPr>
          <t xml:space="preserve">
7/28/2021 Sold 5 IGIB @ 61.085 ($305.42)
Profit = $6.00
Total of 245 shares left
Cost basis remains at 59.885</t>
        </r>
      </text>
    </comment>
    <comment ref="GF79" authorId="0" shapeId="0" xr:uid="{1DD4447C-CAFA-43D0-8C2C-1DB33B8D7ECB}">
      <text>
        <r>
          <rPr>
            <b/>
            <sz val="9"/>
            <color indexed="81"/>
            <rFont val="Tahoma"/>
            <family val="2"/>
          </rPr>
          <t>Rob Squire:</t>
        </r>
        <r>
          <rPr>
            <sz val="9"/>
            <color indexed="81"/>
            <rFont val="Tahoma"/>
            <family val="2"/>
          </rPr>
          <t xml:space="preserve">
7/23/2021 Sold 50 shares ORCL @87.525 ($4,376.22)
Profit = $1,511.17
New total is150 shares
Cost basis remains at 57.3016</t>
        </r>
      </text>
    </comment>
    <comment ref="JL79" authorId="46" shapeId="0" xr:uid="{91D0B0C5-D29F-4BDB-ACF0-ECED956F3656}">
      <text>
        <t>[Threaded comment]
Your version of Excel allows you to read this threaded comment; however, any edits to it will get removed if the file is opened in a newer version of Excel. Learn more: https://go.microsoft.com/fwlink/?linkid=870924
Comment:
    7/7/21 Sold all 210 MRK @78.3753 ($16,458.72)</t>
      </text>
    </comment>
    <comment ref="JP79" authorId="47" shapeId="0" xr:uid="{3D59C44B-6E5E-4823-AAA9-83D7AE1FB100}">
      <text>
        <t>[Threaded comment]
Your version of Excel allows you to read this threaded comment; however, any edits to it will get removed if the file is opened in a newer version of Excel. Learn more: https://go.microsoft.com/fwlink/?linkid=870924
Comment:
    7/7/21 Sold all 21 OGN @29.9591 ($629.13)</t>
      </text>
    </comment>
    <comment ref="OA79" authorId="0" shapeId="0" xr:uid="{872A993E-19B4-4C51-8A64-60CE771FB080}">
      <text>
        <r>
          <rPr>
            <b/>
            <sz val="9"/>
            <color indexed="81"/>
            <rFont val="Tahoma"/>
            <family val="2"/>
          </rPr>
          <t>Rob Squire:</t>
        </r>
        <r>
          <rPr>
            <sz val="9"/>
            <color indexed="81"/>
            <rFont val="Tahoma"/>
            <family val="2"/>
          </rPr>
          <t xml:space="preserve">
7/28/2021 Sold 5 IGIB @ 61.085 ($305.42)
Profit = $6.00
Total of 245 shares left
Cost basis remains at 59.885</t>
        </r>
      </text>
    </comment>
    <comment ref="BV80" authorId="0" shapeId="0" xr:uid="{B6663696-CB07-4A50-8044-4887A8408200}">
      <text>
        <r>
          <rPr>
            <b/>
            <sz val="9"/>
            <color indexed="81"/>
            <rFont val="Tahoma"/>
            <family val="2"/>
          </rPr>
          <t>Rob Squire:</t>
        </r>
        <r>
          <rPr>
            <sz val="9"/>
            <color indexed="81"/>
            <rFont val="Tahoma"/>
            <family val="2"/>
          </rPr>
          <t xml:space="preserve">
8/30/2021 Sold all 1,375 NCLH @25.6004 ($35,200.37
Profit = $10.139.63
0 shares left</t>
        </r>
      </text>
    </comment>
    <comment ref="CH80" authorId="0" shapeId="0" xr:uid="{BE26DA46-A093-488D-A9CB-DD31ABACADBB}">
      <text>
        <r>
          <rPr>
            <b/>
            <sz val="9"/>
            <color indexed="81"/>
            <rFont val="Tahoma"/>
            <family val="2"/>
          </rPr>
          <t>Rob Squire:</t>
        </r>
        <r>
          <rPr>
            <sz val="9"/>
            <color indexed="81"/>
            <rFont val="Tahoma"/>
            <family val="2"/>
          </rPr>
          <t xml:space="preserve">
8/23/2021 Bought 20 more UNH @426.5594 ($8,531.19)  
Brings total to 60 shares
Average cost basis is 378.08 ($22,685.03)</t>
        </r>
      </text>
    </comment>
    <comment ref="CU80" authorId="0" shapeId="0" xr:uid="{601FA1F0-34C5-4924-8DC5-81566433BE15}">
      <text>
        <r>
          <rPr>
            <b/>
            <sz val="9"/>
            <color indexed="81"/>
            <rFont val="Tahoma"/>
            <family val="2"/>
          </rPr>
          <t>Rob Squire:</t>
        </r>
        <r>
          <rPr>
            <sz val="9"/>
            <color indexed="81"/>
            <rFont val="Tahoma"/>
            <family val="2"/>
          </rPr>
          <t xml:space="preserve">
8/23/2021 Sold 5 WFCPRL @1492.7535 ($7,463.73)  
Profit = $481.37
Reduces total to 5 shares
Cost basis remains at 1396.480 ($13,964.80)</t>
        </r>
      </text>
    </comment>
    <comment ref="DD80" authorId="0" shapeId="0" xr:uid="{9E7B498D-1027-427D-9C8B-FB81C716AD69}">
      <text>
        <r>
          <rPr>
            <b/>
            <sz val="9"/>
            <color indexed="81"/>
            <rFont val="Tahoma"/>
            <family val="2"/>
          </rPr>
          <t>Rob Squire:</t>
        </r>
        <r>
          <rPr>
            <sz val="9"/>
            <color indexed="81"/>
            <rFont val="Tahoma"/>
            <family val="2"/>
          </rPr>
          <t xml:space="preserve">
8/23/2021 Bought 45 more AGG @ 116.1800 ($5,228.10)  
Brings total to 65 shares</t>
        </r>
      </text>
    </comment>
    <comment ref="GF80" authorId="0" shapeId="0" xr:uid="{B0EC15B8-283C-4905-BABF-9B6CB1426B9C}">
      <text>
        <r>
          <rPr>
            <b/>
            <sz val="9"/>
            <color indexed="81"/>
            <rFont val="Tahoma"/>
            <family val="2"/>
          </rPr>
          <t>Rob Squire:</t>
        </r>
        <r>
          <rPr>
            <sz val="9"/>
            <color indexed="81"/>
            <rFont val="Tahoma"/>
            <family val="2"/>
          </rPr>
          <t xml:space="preserve">
8/23/2021 Sold 25 ORCL @ 89.2268 ($2,230.65)
Profit = $798.13
New total is 125 shares
Cost basis remains at 57.3016</t>
        </r>
      </text>
    </comment>
    <comment ref="HK80" authorId="48" shapeId="0" xr:uid="{B4AB9949-C52A-4704-9F83-0D0A3DBEB7BC}">
      <text>
        <t>[Threaded comment]
Your version of Excel allows you to read this threaded comment; however, any edits to it will get removed if the file is opened in a newer version of Excel. Learn more: https://go.microsoft.com/fwlink/?linkid=870924
Comment:
    8/23/2021 Sold all 45 APD@268.7125 ($12,091.99)</t>
      </text>
    </comment>
    <comment ref="JK80" authorId="0" shapeId="0" xr:uid="{D1BC3411-02D6-49E5-80D6-B65802D2EAD7}">
      <text>
        <r>
          <rPr>
            <b/>
            <sz val="9"/>
            <color indexed="81"/>
            <rFont val="Tahoma"/>
            <family val="2"/>
          </rPr>
          <t>Rob Squire:</t>
        </r>
        <r>
          <rPr>
            <sz val="9"/>
            <color indexed="81"/>
            <rFont val="Tahoma"/>
            <family val="2"/>
          </rPr>
          <t xml:space="preserve">
8/23/2021 Bought 20 more MMM @194.996 ($3,899.92)  
Total is 110 shares
Average cost basis is 171.29 ($18,841.72)</t>
        </r>
      </text>
    </comment>
    <comment ref="JT80" authorId="0" shapeId="0" xr:uid="{CCBECB22-6DA1-409B-A82B-A3A1D8917829}">
      <text>
        <r>
          <rPr>
            <b/>
            <sz val="9"/>
            <color indexed="81"/>
            <rFont val="Tahoma"/>
            <family val="2"/>
          </rPr>
          <t>Rob Squire:</t>
        </r>
        <r>
          <rPr>
            <sz val="9"/>
            <color indexed="81"/>
            <rFont val="Tahoma"/>
            <family val="2"/>
          </rPr>
          <t xml:space="preserve">
8/23/2021 Bought 50 more SBUX @ 115.1287 ($5,756.44)  
Brings total to 200 shares
Average cost basis is 101.53 ($20,306.44)</t>
        </r>
      </text>
    </comment>
    <comment ref="JX80" authorId="0" shapeId="0" xr:uid="{377FBE2A-8ECC-4773-8DA1-426EAE973F9E}">
      <text>
        <r>
          <rPr>
            <b/>
            <sz val="9"/>
            <color indexed="81"/>
            <rFont val="Tahoma"/>
            <family val="2"/>
          </rPr>
          <t>Rob Squire:</t>
        </r>
        <r>
          <rPr>
            <sz val="9"/>
            <color indexed="81"/>
            <rFont val="Tahoma"/>
            <family val="2"/>
          </rPr>
          <t xml:space="preserve">
8/23/2021 Bought 20 more UNH @426.5594 ($8,531.19)  
Brings total to 60 shares
Average cost basis is 378.08 ($22,685.03)</t>
        </r>
      </text>
    </comment>
    <comment ref="KP80" authorId="0" shapeId="0" xr:uid="{30F084A0-F05B-4CDA-9285-9E7CB6061EB0}">
      <text>
        <r>
          <rPr>
            <b/>
            <sz val="9"/>
            <color indexed="81"/>
            <rFont val="Tahoma"/>
            <family val="2"/>
          </rPr>
          <t>Rob Squire:</t>
        </r>
        <r>
          <rPr>
            <sz val="9"/>
            <color indexed="81"/>
            <rFont val="Tahoma"/>
            <family val="2"/>
          </rPr>
          <t xml:space="preserve">
8/23/2021 Sold 5 WFCPRL @1492.7535 ($7,463.73)  
Profit = $481.37
Reduces total to 5 shares
Cost basis remains at 1396.480 ($13,964.80)</t>
        </r>
      </text>
    </comment>
    <comment ref="LG80" authorId="0" shapeId="0" xr:uid="{7D02290D-82AA-40D3-ADAD-6DEAC597CC1D}">
      <text>
        <r>
          <rPr>
            <b/>
            <sz val="9"/>
            <color indexed="81"/>
            <rFont val="Tahoma"/>
            <family val="2"/>
          </rPr>
          <t>Rob Squire:</t>
        </r>
        <r>
          <rPr>
            <sz val="9"/>
            <color indexed="81"/>
            <rFont val="Tahoma"/>
            <family val="2"/>
          </rPr>
          <t xml:space="preserve">
8/23/2021 Bought 45 more AGG @ 116.1800 ($5,228.10)  
Brings total to 65 shares</t>
        </r>
      </text>
    </comment>
    <comment ref="LK80" authorId="49" shapeId="0" xr:uid="{9C4C1B05-1D3D-4F88-8E6F-25E1C348FB07}">
      <text>
        <t>[Threaded comment]
Your version of Excel allows you to read this threaded comment; however, any edits to it will get removed if the file is opened in a newer version of Excel. Learn more: https://go.microsoft.com/fwlink/?linkid=870924
Comment:
    8/23/2021 Sold all 125 BCE @ 51.2024 ($6,400.26)</t>
      </text>
    </comment>
    <comment ref="NK80" authorId="0" shapeId="0" xr:uid="{19DC60A2-41C4-4B3F-ABF6-0FCAF92ACCD6}">
      <text>
        <r>
          <rPr>
            <b/>
            <sz val="9"/>
            <color indexed="81"/>
            <rFont val="Tahoma"/>
            <family val="2"/>
          </rPr>
          <t>Rob Squire:</t>
        </r>
        <r>
          <rPr>
            <sz val="9"/>
            <color indexed="81"/>
            <rFont val="Tahoma"/>
            <family val="2"/>
          </rPr>
          <t xml:space="preserve">
Bought 20 VZ @55.48 ($1,109.54)
New total is 140 shares</t>
        </r>
      </text>
    </comment>
    <comment ref="BE81" authorId="0" shapeId="0" xr:uid="{EDD793F0-225C-46EE-B638-F936B745D464}">
      <text>
        <r>
          <rPr>
            <b/>
            <sz val="9"/>
            <color indexed="81"/>
            <rFont val="Tahoma"/>
            <family val="2"/>
          </rPr>
          <t>Rob Squire:</t>
        </r>
        <r>
          <rPr>
            <sz val="9"/>
            <color indexed="81"/>
            <rFont val="Tahoma"/>
            <family val="2"/>
          </rPr>
          <t xml:space="preserve">
9/15/2021 Sold 2 GOOG @2884.295 ($5,768.56)
Profit = 2,208.30
Total is 8 shares
Cost basis is still 1780.145 ($17,801.45)</t>
        </r>
      </text>
    </comment>
    <comment ref="GF81" authorId="0" shapeId="0" xr:uid="{0CC17C6F-2EB7-46B7-9C98-DC374B8AC42E}">
      <text>
        <r>
          <rPr>
            <b/>
            <sz val="9"/>
            <color indexed="81"/>
            <rFont val="Tahoma"/>
            <family val="2"/>
          </rPr>
          <t>Rob Squire:</t>
        </r>
        <r>
          <rPr>
            <sz val="9"/>
            <color indexed="81"/>
            <rFont val="Tahoma"/>
            <family val="2"/>
          </rPr>
          <t xml:space="preserve">
9/24/2021 Sold 35 shares of ORCL @ 89.95 ($3,148.23)
Profit = $1,142.69
New total is 90 shares
Cost basis remains at 57.3016</t>
        </r>
      </text>
    </comment>
    <comment ref="IE81" authorId="0" shapeId="0" xr:uid="{8820AF3A-6002-4B83-A398-83DC93270FEC}">
      <text>
        <r>
          <rPr>
            <b/>
            <sz val="9"/>
            <color indexed="81"/>
            <rFont val="Tahoma"/>
            <family val="2"/>
          </rPr>
          <t>Rob Squire:</t>
        </r>
        <r>
          <rPr>
            <sz val="9"/>
            <color indexed="81"/>
            <rFont val="Tahoma"/>
            <family val="2"/>
          </rPr>
          <t xml:space="preserve">
9/15/2021 Bought 50 more EA @ 137.2229 ($6,861.15)
Total is 175 shares
Average cost basis is 123.56 ($21,622.65)</t>
        </r>
      </text>
    </comment>
    <comment ref="IM81" authorId="0" shapeId="0" xr:uid="{2DAF176C-555A-42E4-9BAC-6192F36785DD}">
      <text>
        <r>
          <rPr>
            <b/>
            <sz val="9"/>
            <color indexed="81"/>
            <rFont val="Tahoma"/>
            <family val="2"/>
          </rPr>
          <t>Rob Squire:</t>
        </r>
        <r>
          <rPr>
            <sz val="9"/>
            <color indexed="81"/>
            <rFont val="Tahoma"/>
            <family val="2"/>
          </rPr>
          <t xml:space="preserve">
9/15/2021 Sold 2 GOOG @2884.295 ($5,768.56)
Profit = 2,208.30
Total is 8 shares
Cost basis is still 1780.145 ($17,801.45)</t>
        </r>
      </text>
    </comment>
    <comment ref="MP81" authorId="0" shapeId="0" xr:uid="{48CD1E2B-E6C8-4445-9870-46573E70E2FA}">
      <text>
        <r>
          <rPr>
            <b/>
            <sz val="9"/>
            <color indexed="81"/>
            <rFont val="Tahoma"/>
            <family val="2"/>
          </rPr>
          <t>Rob Squire:</t>
        </r>
        <r>
          <rPr>
            <sz val="9"/>
            <color indexed="81"/>
            <rFont val="Tahoma"/>
            <family val="2"/>
          </rPr>
          <t xml:space="preserve">
9/29/2021 – Sold all 75 PNW @ 72.3265 ($5,424.46)
Total in account = 0</t>
        </r>
      </text>
    </comment>
    <comment ref="NL81" authorId="0" shapeId="0" xr:uid="{D1BCB3A8-3038-420C-8F65-AA46824F9211}">
      <text>
        <r>
          <rPr>
            <b/>
            <sz val="9"/>
            <color indexed="81"/>
            <rFont val="Tahoma"/>
            <family val="2"/>
          </rPr>
          <t>Rob Squire:</t>
        </r>
        <r>
          <rPr>
            <sz val="9"/>
            <color indexed="81"/>
            <rFont val="Tahoma"/>
            <family val="2"/>
          </rPr>
          <t xml:space="preserve">
9/29/2021 – Bought 60 WEC @ 88.9942 ($5,339.65)
Total in account = 60
</t>
        </r>
      </text>
    </comment>
    <comment ref="GX82" authorId="0" shapeId="0" xr:uid="{C1C8CF6A-5DF3-431B-B3E0-F9E82259EA1C}">
      <text>
        <r>
          <rPr>
            <b/>
            <sz val="9"/>
            <color indexed="81"/>
            <rFont val="Tahoma"/>
            <family val="2"/>
          </rPr>
          <t>Rob Squire:</t>
        </r>
        <r>
          <rPr>
            <sz val="9"/>
            <color indexed="81"/>
            <rFont val="Tahoma"/>
            <family val="2"/>
          </rPr>
          <t xml:space="preserve">
10/26/2021 – Sold 60 VZ @53.115 ($3,186.88)
Loss = $425.20
Totl of 240 shares remaining
Cost basis remains at 60.2016
</t>
        </r>
      </text>
    </comment>
    <comment ref="MH82" authorId="0" shapeId="0" xr:uid="{7E5A997C-9D44-4830-8140-F3CF2D34665E}">
      <text>
        <r>
          <rPr>
            <b/>
            <sz val="9"/>
            <color indexed="81"/>
            <rFont val="Tahoma"/>
            <family val="2"/>
          </rPr>
          <t>Rob Squire:</t>
        </r>
        <r>
          <rPr>
            <sz val="9"/>
            <color indexed="81"/>
            <rFont val="Tahoma"/>
            <family val="2"/>
          </rPr>
          <t xml:space="preserve">
10/6/2021 Bought 4 shares LMT @ 349.5548 ($1,398.22)
Brings total to 20 shares
</t>
        </r>
      </text>
    </comment>
    <comment ref="AI83" authorId="0" shapeId="0" xr:uid="{8FB4BD7D-6476-4AA8-8E9E-54A749A7A3BE}">
      <text>
        <r>
          <rPr>
            <b/>
            <sz val="9"/>
            <color indexed="81"/>
            <rFont val="Tahoma"/>
            <family val="2"/>
          </rPr>
          <t>Rob Squire:</t>
        </r>
        <r>
          <rPr>
            <sz val="9"/>
            <color indexed="81"/>
            <rFont val="Tahoma"/>
            <family val="2"/>
          </rPr>
          <t xml:space="preserve">
11/5/2021 Bought 80 ABBV @ 117.04 ($9,363.20)
New total in account is 80 shares. 
New cost basis is 117.04
</t>
        </r>
      </text>
    </comment>
    <comment ref="BR83" authorId="0" shapeId="0" xr:uid="{E4DBBB75-AD5E-4EA3-B035-C515DBE639BE}">
      <text>
        <r>
          <rPr>
            <b/>
            <sz val="9"/>
            <color indexed="81"/>
            <rFont val="Tahoma"/>
            <family val="2"/>
          </rPr>
          <t>Rob Squire:</t>
        </r>
        <r>
          <rPr>
            <sz val="9"/>
            <color indexed="81"/>
            <rFont val="Tahoma"/>
            <family val="2"/>
          </rPr>
          <t xml:space="preserve">
11/5/2021 Bought 35 more KO @56.9261 ($1,992.41)
New total in account is 155 shares
New cost basis is 55.12
</t>
        </r>
      </text>
    </comment>
    <comment ref="BY83" authorId="0" shapeId="0" xr:uid="{D2ED21EA-E1EB-46EE-8A0C-7044C5FD7A3F}">
      <text>
        <r>
          <rPr>
            <b/>
            <sz val="9"/>
            <color indexed="81"/>
            <rFont val="Tahoma"/>
            <family val="2"/>
          </rPr>
          <t>Rob Squire:</t>
        </r>
        <r>
          <rPr>
            <sz val="9"/>
            <color indexed="81"/>
            <rFont val="Tahoma"/>
            <family val="2"/>
          </rPr>
          <t xml:space="preserve">
11/5/2021 Bought 20 more PG @146.339 ($2,926.78)
New total in account is 65 shares
Average cost basis is 140.51 ($9,133.44)
</t>
        </r>
      </text>
    </comment>
    <comment ref="CM83" authorId="0" shapeId="0" xr:uid="{593D7EB0-6AF5-451B-B22F-30BB6DC25752}">
      <text>
        <r>
          <rPr>
            <b/>
            <sz val="9"/>
            <color indexed="81"/>
            <rFont val="Tahoma"/>
            <family val="2"/>
          </rPr>
          <t>Rob Squire:</t>
        </r>
        <r>
          <rPr>
            <sz val="9"/>
            <color indexed="81"/>
            <rFont val="Tahoma"/>
            <family val="2"/>
          </rPr>
          <t xml:space="preserve">
11/5/2021 Bought 50 more VEA at 52.895 ($2,644.75)
New total in account is 200 shares
New cost basis is 51.76 ($10,351.00)
11/28/2021 Bought 25 VEA @ 50.295 ($1,257.38)
New total in account is 225 shares
New cost basis is 51.59 ($11,608.38)</t>
        </r>
      </text>
    </comment>
    <comment ref="DD83" authorId="0" shapeId="0" xr:uid="{A4534972-220B-4406-B374-5D5B748602E2}">
      <text>
        <r>
          <rPr>
            <b/>
            <sz val="9"/>
            <color indexed="81"/>
            <rFont val="Tahoma"/>
            <family val="2"/>
          </rPr>
          <t>Rob Squire:</t>
        </r>
        <r>
          <rPr>
            <sz val="9"/>
            <color indexed="81"/>
            <rFont val="Tahoma"/>
            <family val="2"/>
          </rPr>
          <t xml:space="preserve">
11/5/2021 Bought 100 AGG @115.2967 ($11,529.67)
New total in account is 165 shares
New average cost basis is 115.51 (19,058.34)
</t>
        </r>
      </text>
    </comment>
    <comment ref="DF83" authorId="0" shapeId="0" xr:uid="{5DF1DE10-9482-4CC3-987E-3F42B81E559F}">
      <text>
        <r>
          <rPr>
            <b/>
            <sz val="9"/>
            <color indexed="81"/>
            <rFont val="Tahoma"/>
            <family val="2"/>
          </rPr>
          <t>Rob Squire:</t>
        </r>
        <r>
          <rPr>
            <sz val="9"/>
            <color indexed="81"/>
            <rFont val="Tahoma"/>
            <family val="2"/>
          </rPr>
          <t xml:space="preserve">
11/8/2021 Bought 45 BND @85.645 ($3,854.03)
Total of 45 shares
Cost basis is 85.645 ($3,854.03)
</t>
        </r>
      </text>
    </comment>
    <comment ref="DM83" authorId="0" shapeId="0" xr:uid="{E8A0EF23-677F-4058-83AF-4E09F450DF3B}">
      <text>
        <r>
          <rPr>
            <b/>
            <sz val="9"/>
            <color indexed="81"/>
            <rFont val="Tahoma"/>
            <family val="2"/>
          </rPr>
          <t>Rob Squire:</t>
        </r>
        <r>
          <rPr>
            <sz val="9"/>
            <color indexed="81"/>
            <rFont val="Tahoma"/>
            <family val="2"/>
          </rPr>
          <t xml:space="preserve">
11/5/2021 Bought 100 more MBB @108.145 ($10,814.50)
New total in account is 225 shares
New cost basis is 108.26 ($24,358.88)
</t>
        </r>
      </text>
    </comment>
    <comment ref="DP83" authorId="0" shapeId="0" xr:uid="{C91D5BE6-3E64-48F2-AA14-2C11E74BF3C2}">
      <text>
        <r>
          <rPr>
            <b/>
            <sz val="9"/>
            <color indexed="81"/>
            <rFont val="Tahoma"/>
            <family val="2"/>
          </rPr>
          <t>Rob Squire:</t>
        </r>
        <r>
          <rPr>
            <sz val="9"/>
            <color indexed="81"/>
            <rFont val="Tahoma"/>
            <family val="2"/>
          </rPr>
          <t xml:space="preserve">
11/5/2021 Bought 200 more SCHR @56.63 ($11,326.00)
New total in account is 450 shares
New cost basis is 56.67 ($25,501.25)
</t>
        </r>
      </text>
    </comment>
    <comment ref="DR83" authorId="0" shapeId="0" xr:uid="{623D78F1-99DE-4C87-8350-5B5CEB7C83A4}">
      <text>
        <r>
          <rPr>
            <b/>
            <sz val="9"/>
            <color indexed="81"/>
            <rFont val="Tahoma"/>
            <family val="2"/>
          </rPr>
          <t>Rob Squire:</t>
        </r>
        <r>
          <rPr>
            <sz val="9"/>
            <color indexed="81"/>
            <rFont val="Tahoma"/>
            <family val="2"/>
          </rPr>
          <t xml:space="preserve">
11/5/2021 Bought 100 more VCIT @94.58 ($9,458.00)
New total in account is 200 shares
New cost basis is 94.28 ($18,856.50)
</t>
        </r>
      </text>
    </comment>
    <comment ref="GF83" authorId="0" shapeId="0" xr:uid="{7A312AFF-1A47-40E6-B6FE-6D32E33D1FB5}">
      <text>
        <r>
          <rPr>
            <b/>
            <sz val="9"/>
            <color indexed="81"/>
            <rFont val="Tahoma"/>
            <family val="2"/>
          </rPr>
          <t>Rob Squire:</t>
        </r>
        <r>
          <rPr>
            <sz val="9"/>
            <color indexed="81"/>
            <rFont val="Tahoma"/>
            <family val="2"/>
          </rPr>
          <t xml:space="preserve">
11/11/2021 Sold all 90 ORCL @94.2026 ($8,478.18)
Profit = $3,321.09
New total = 0 shares
</t>
        </r>
      </text>
    </comment>
    <comment ref="HQ83" authorId="0" shapeId="0" xr:uid="{160B790B-6B4B-421F-B7E8-608A2EAB00EA}">
      <text>
        <r>
          <rPr>
            <b/>
            <sz val="9"/>
            <color indexed="81"/>
            <rFont val="Tahoma"/>
            <family val="2"/>
          </rPr>
          <t>Rob Squire:</t>
        </r>
        <r>
          <rPr>
            <sz val="9"/>
            <color indexed="81"/>
            <rFont val="Tahoma"/>
            <family val="2"/>
          </rPr>
          <t xml:space="preserve">
11/8/2021 Bought 250 BFB @ 72.1221 ($18,030.53)
Total of 250 shares
Cost basis is 72.1221 ($18,030.53) 
</t>
        </r>
      </text>
    </comment>
    <comment ref="IY83" authorId="0" shapeId="0" xr:uid="{CCE4F2AD-CC01-4435-8CA4-69DA492B7018}">
      <text>
        <r>
          <rPr>
            <b/>
            <sz val="9"/>
            <color indexed="81"/>
            <rFont val="Tahoma"/>
            <family val="2"/>
          </rPr>
          <t>Rob Squire:</t>
        </r>
        <r>
          <rPr>
            <sz val="9"/>
            <color indexed="81"/>
            <rFont val="Tahoma"/>
            <family val="2"/>
          </rPr>
          <t xml:space="preserve">
11/8/2021 Sold all 120 KMB@131.5825 ($15,789.81)
Loss = $339.44
New total is 0 shares
</t>
        </r>
      </text>
    </comment>
    <comment ref="LF83" authorId="0" shapeId="0" xr:uid="{3CE6FF59-4A98-439C-B32C-2EEF76FA97A2}">
      <text>
        <r>
          <rPr>
            <b/>
            <sz val="9"/>
            <color indexed="81"/>
            <rFont val="Tahoma"/>
            <family val="2"/>
          </rPr>
          <t>Rob Squire:</t>
        </r>
        <r>
          <rPr>
            <sz val="9"/>
            <color indexed="81"/>
            <rFont val="Tahoma"/>
            <family val="2"/>
          </rPr>
          <t xml:space="preserve">
11/5/2021 Bought 80 ABBV @ 117.04 ($9,363.20)
New total in account is 80 shares. 
New cost basis is 117.04
</t>
        </r>
      </text>
    </comment>
    <comment ref="LG83" authorId="0" shapeId="0" xr:uid="{38E7A1AB-A5F2-4729-BB2E-222FE308D339}">
      <text>
        <r>
          <rPr>
            <b/>
            <sz val="9"/>
            <color indexed="81"/>
            <rFont val="Tahoma"/>
            <family val="2"/>
          </rPr>
          <t>Rob Squire:</t>
        </r>
        <r>
          <rPr>
            <sz val="9"/>
            <color indexed="81"/>
            <rFont val="Tahoma"/>
            <family val="2"/>
          </rPr>
          <t xml:space="preserve">
11/5/2021 Bought 100 AGG @115.2967 ($11,529.67)
New total in account is 165 shares
New average cost basis is 115.51 (19,058.34)
</t>
        </r>
      </text>
    </comment>
    <comment ref="LM83" authorId="0" shapeId="0" xr:uid="{639A2297-DAE3-43C5-972A-A4EEC9706980}">
      <text>
        <r>
          <rPr>
            <b/>
            <sz val="9"/>
            <color indexed="81"/>
            <rFont val="Tahoma"/>
            <family val="2"/>
          </rPr>
          <t>Rob Squire:</t>
        </r>
        <r>
          <rPr>
            <sz val="9"/>
            <color indexed="81"/>
            <rFont val="Tahoma"/>
            <family val="2"/>
          </rPr>
          <t xml:space="preserve">
11/8/2021 Bought 45 BND @85.645 ($3,854.03)
Total of 45 shares
Cost basis is 85.645 ($3,854.03)
</t>
        </r>
      </text>
    </comment>
    <comment ref="LQ83" authorId="0" shapeId="0" xr:uid="{93C74034-DD26-4766-9413-C385D5012ED1}">
      <text>
        <r>
          <rPr>
            <b/>
            <sz val="9"/>
            <color indexed="81"/>
            <rFont val="Tahoma"/>
            <family val="2"/>
          </rPr>
          <t>Rob Squire:</t>
        </r>
        <r>
          <rPr>
            <sz val="9"/>
            <color indexed="81"/>
            <rFont val="Tahoma"/>
            <family val="2"/>
          </rPr>
          <t xml:space="preserve">
11/5/2021 Bought 65 DGX @140.9022 ($9,158.64)
Total in account is 65 shares
New cost basis is 140.90 ($9,158.64)
</t>
        </r>
      </text>
    </comment>
    <comment ref="MB83" authorId="0" shapeId="0" xr:uid="{4D9E08FA-0B7E-49A1-9624-1AD8CE9F94B2}">
      <text>
        <r>
          <rPr>
            <b/>
            <sz val="9"/>
            <color indexed="81"/>
            <rFont val="Tahoma"/>
            <family val="2"/>
          </rPr>
          <t>Rob Squire:</t>
        </r>
        <r>
          <rPr>
            <sz val="9"/>
            <color indexed="81"/>
            <rFont val="Tahoma"/>
            <family val="2"/>
          </rPr>
          <t xml:space="preserve">
11/5/2021 Sold all 40 JNJ @163.5725 ($6,542.86)
Loss = $301.94
New total in account is 0 shares
</t>
        </r>
      </text>
    </comment>
    <comment ref="ME83" authorId="0" shapeId="0" xr:uid="{0D0D0A7C-E9C8-40AB-AE0C-AFC0EE73316F}">
      <text>
        <r>
          <rPr>
            <b/>
            <sz val="9"/>
            <color indexed="81"/>
            <rFont val="Tahoma"/>
            <family val="2"/>
          </rPr>
          <t>Rob Squire:</t>
        </r>
        <r>
          <rPr>
            <sz val="9"/>
            <color indexed="81"/>
            <rFont val="Tahoma"/>
            <family val="2"/>
          </rPr>
          <t xml:space="preserve">
11/5/2021 Bought 35 more KO @56.9261 ($1,992.41)
New total in account is 155 shares
New cost basis is 55.12
</t>
        </r>
      </text>
    </comment>
    <comment ref="MH83" authorId="0" shapeId="0" xr:uid="{151D1D0A-C236-42AF-963E-C7EFA4ADB270}">
      <text>
        <r>
          <rPr>
            <b/>
            <sz val="9"/>
            <color indexed="81"/>
            <rFont val="Tahoma"/>
            <family val="2"/>
          </rPr>
          <t>Rob Squire:</t>
        </r>
        <r>
          <rPr>
            <sz val="9"/>
            <color indexed="81"/>
            <rFont val="Tahoma"/>
            <family val="2"/>
          </rPr>
          <t xml:space="preserve">
11/5/2021 Sold all 20 LMT at 340.4923 ($6,809.81)
Loss = $784.57
New total in account is 0 shares
</t>
        </r>
      </text>
    </comment>
    <comment ref="MI83" authorId="0" shapeId="0" xr:uid="{31F61FD8-2CAC-442E-BC86-B0AAEDDC0CE3}">
      <text>
        <r>
          <rPr>
            <b/>
            <sz val="9"/>
            <color indexed="81"/>
            <rFont val="Tahoma"/>
            <family val="2"/>
          </rPr>
          <t>Rob Squire:</t>
        </r>
        <r>
          <rPr>
            <sz val="9"/>
            <color indexed="81"/>
            <rFont val="Tahoma"/>
            <family val="2"/>
          </rPr>
          <t xml:space="preserve">
11/5/2021 Bought 100 more MBB @108.145 ($10,814.50)
New total in account is 225 shares
New cost basis is 108.26 ($24,358.88)
</t>
        </r>
      </text>
    </comment>
    <comment ref="MN83" authorId="0" shapeId="0" xr:uid="{99BAB2C0-F9F4-4571-A997-A64768721E83}">
      <text>
        <r>
          <rPr>
            <b/>
            <sz val="9"/>
            <color indexed="81"/>
            <rFont val="Tahoma"/>
            <family val="2"/>
          </rPr>
          <t>Rob Squire:</t>
        </r>
        <r>
          <rPr>
            <sz val="9"/>
            <color indexed="81"/>
            <rFont val="Tahoma"/>
            <family val="2"/>
          </rPr>
          <t xml:space="preserve">
11/5/2021 Bought 20 more PG @146.339 ($2,926.78)
New total in account is 65 shares
Average cost basis is 140.51 ($9,133.44)
</t>
        </r>
      </text>
    </comment>
    <comment ref="MO83" authorId="0" shapeId="0" xr:uid="{19B80D26-329B-49DC-B5AF-01903D3EA976}">
      <text>
        <r>
          <rPr>
            <b/>
            <sz val="9"/>
            <color indexed="81"/>
            <rFont val="Tahoma"/>
            <family val="2"/>
          </rPr>
          <t>Rob Squire:</t>
        </r>
        <r>
          <rPr>
            <sz val="9"/>
            <color indexed="81"/>
            <rFont val="Tahoma"/>
            <family val="2"/>
          </rPr>
          <t xml:space="preserve">
11/5/2021 Bought 30 PM @94.535 ($2,836.05)
New total in account is 95 shares
New cost basis is 96.55 ($9,172.70)
</t>
        </r>
      </text>
    </comment>
    <comment ref="MR83" authorId="0" shapeId="0" xr:uid="{30394578-8E4D-4E35-B03E-933048B9E9DD}">
      <text>
        <r>
          <rPr>
            <b/>
            <sz val="9"/>
            <color indexed="81"/>
            <rFont val="Tahoma"/>
            <family val="2"/>
          </rPr>
          <t>Rob Squire:</t>
        </r>
        <r>
          <rPr>
            <sz val="9"/>
            <color indexed="81"/>
            <rFont val="Tahoma"/>
            <family val="2"/>
          </rPr>
          <t xml:space="preserve">
11/5/2021 Sold 150 RHHBY @50.13 ($7,519.46)
Profit = $1,024.91
New total in account is 0 shares
</t>
        </r>
      </text>
    </comment>
    <comment ref="MV83" authorId="0" shapeId="0" xr:uid="{DD0B6434-3617-4795-9F76-510B92C26CB8}">
      <text>
        <r>
          <rPr>
            <b/>
            <sz val="9"/>
            <color indexed="81"/>
            <rFont val="Tahoma"/>
            <family val="2"/>
          </rPr>
          <t>Rob Squire:</t>
        </r>
        <r>
          <rPr>
            <sz val="9"/>
            <color indexed="81"/>
            <rFont val="Tahoma"/>
            <family val="2"/>
          </rPr>
          <t xml:space="preserve">
11/5/2021 Bought 200 more SCHR @56.63 ($11,326.00)
New total in account is 450 shares
New cost basis is 56.67 ($25,501.25)
</t>
        </r>
      </text>
    </comment>
    <comment ref="MW83" authorId="0" shapeId="0" xr:uid="{F3DC610C-8F7F-4ADB-91EA-D66C00576ACD}">
      <text>
        <r>
          <rPr>
            <b/>
            <sz val="9"/>
            <color indexed="81"/>
            <rFont val="Tahoma"/>
            <family val="2"/>
          </rPr>
          <t>Rob Squire:</t>
        </r>
        <r>
          <rPr>
            <sz val="9"/>
            <color indexed="81"/>
            <rFont val="Tahoma"/>
            <family val="2"/>
          </rPr>
          <t xml:space="preserve">
11/5/2021 Bought 100 more SHYG @45.61 ($4,561.00)
New total in account is 200 shares
New cost basis is 45.69 ($9,137.00)
</t>
        </r>
      </text>
    </comment>
    <comment ref="NC83" authorId="0" shapeId="0" xr:uid="{7C2402F5-96E4-4599-BE09-22BC61C12AC4}">
      <text>
        <r>
          <rPr>
            <b/>
            <sz val="9"/>
            <color indexed="81"/>
            <rFont val="Tahoma"/>
            <family val="2"/>
          </rPr>
          <t>Rob Squire:</t>
        </r>
        <r>
          <rPr>
            <sz val="9"/>
            <color indexed="81"/>
            <rFont val="Tahoma"/>
            <family val="2"/>
          </rPr>
          <t xml:space="preserve">
11/5/2021 Bought 100 more VCIT @94.58 ($9,458.00)
New total in account is 200 shares
New cost basis is 94.28 ($18,856.50)
</t>
        </r>
      </text>
    </comment>
    <comment ref="NG83" authorId="0" shapeId="0" xr:uid="{9EFA1B6F-0023-4DE6-AD28-67786B77FA43}">
      <text>
        <r>
          <rPr>
            <b/>
            <sz val="9"/>
            <color indexed="81"/>
            <rFont val="Tahoma"/>
            <family val="2"/>
          </rPr>
          <t>Rob Squire:</t>
        </r>
        <r>
          <rPr>
            <sz val="9"/>
            <color indexed="81"/>
            <rFont val="Tahoma"/>
            <family val="2"/>
          </rPr>
          <t xml:space="preserve">
11/5/2021 Bought 50 more VEA at 52.895 ($2,644.75)
New total in account is 200 shares
New cost basis is 51.76 ($10,351.00)
11/28/2021 Bought 25 VEA @ 50.295 ($1,257.38)
New total in account is 225 shares
New cost basis is 51.59 ($11,608.38)</t>
        </r>
      </text>
    </comment>
    <comment ref="NK83" authorId="0" shapeId="0" xr:uid="{CDE42884-13D7-47D4-A31D-E5315BA1C2E9}">
      <text>
        <r>
          <rPr>
            <b/>
            <sz val="9"/>
            <color indexed="81"/>
            <rFont val="Tahoma"/>
            <family val="2"/>
          </rPr>
          <t>Rob Squire:</t>
        </r>
        <r>
          <rPr>
            <sz val="9"/>
            <color indexed="81"/>
            <rFont val="Tahoma"/>
            <family val="2"/>
          </rPr>
          <t xml:space="preserve">
11/5/2021 Bought 40 more VZ @52.315 ($2,092.60)
New total in account is 180 shares
New cost basis is 56.21 ($10,117.74)
</t>
        </r>
      </text>
    </comment>
    <comment ref="NL83" authorId="0" shapeId="0" xr:uid="{792B4F12-1486-433E-B745-EB7E2E2C0352}">
      <text>
        <r>
          <rPr>
            <b/>
            <sz val="9"/>
            <color indexed="81"/>
            <rFont val="Tahoma"/>
            <family val="2"/>
          </rPr>
          <t>Rob Squire:</t>
        </r>
        <r>
          <rPr>
            <sz val="9"/>
            <color indexed="81"/>
            <rFont val="Tahoma"/>
            <family val="2"/>
          </rPr>
          <t xml:space="preserve">
11/5/2021 Bought 30 more WEC @91.04 ($2,731.20)
New total in account is 90 shares
New cost basis is 89.68 ($8,070.85)
</t>
        </r>
      </text>
    </comment>
    <comment ref="NN83" authorId="0" shapeId="0" xr:uid="{2F51640F-42CD-4C6C-AA47-BCFFC9BDA35B}">
      <text>
        <r>
          <rPr>
            <b/>
            <sz val="9"/>
            <color indexed="81"/>
            <rFont val="Tahoma"/>
            <family val="2"/>
          </rPr>
          <t>Rob Squire:</t>
        </r>
        <r>
          <rPr>
            <sz val="9"/>
            <color indexed="81"/>
            <rFont val="Tahoma"/>
            <family val="2"/>
          </rPr>
          <t xml:space="preserve">
11/5/2021 Bought 60 WM @160.3425 ($9,620.55)
New total in account is 60 shares
New cost basis is 160.3425 ($9,620.55)
</t>
        </r>
      </text>
    </comment>
    <comment ref="AT84" authorId="0" shapeId="0" xr:uid="{9AFE520B-2574-4C44-A12D-EC4EB83D9593}">
      <text>
        <r>
          <rPr>
            <b/>
            <sz val="9"/>
            <color indexed="81"/>
            <rFont val="Tahoma"/>
            <family val="2"/>
          </rPr>
          <t>Rob Squire:</t>
        </r>
        <r>
          <rPr>
            <sz val="9"/>
            <color indexed="81"/>
            <rFont val="Tahoma"/>
            <family val="2"/>
          </rPr>
          <t xml:space="preserve">
12/6/2021 Bought 350 DAL @39.015 ($13,655.25)
Total of 1,150 shares
Cost basis is 33.68 or total of $38,731.25
</t>
        </r>
      </text>
    </comment>
    <comment ref="CF84" authorId="0" shapeId="0" xr:uid="{8BBF6833-384F-4CD2-B8CE-7C284CD29255}">
      <text>
        <r>
          <rPr>
            <b/>
            <sz val="9"/>
            <color indexed="81"/>
            <rFont val="Tahoma"/>
            <family val="2"/>
          </rPr>
          <t>Rob Squire:</t>
        </r>
        <r>
          <rPr>
            <sz val="9"/>
            <color indexed="81"/>
            <rFont val="Tahoma"/>
            <family val="2"/>
          </rPr>
          <t xml:space="preserve">
12/6/2021 Bought 300 UAL @44.86 ($13,458.00)
Total of 968 shares
Cost basis is 39.76 or a total of $38,484.62
</t>
        </r>
      </text>
    </comment>
    <comment ref="FN84" authorId="0" shapeId="0" xr:uid="{AE801D13-02C8-4F30-9982-81F3116CEC83}">
      <text>
        <r>
          <rPr>
            <b/>
            <sz val="9"/>
            <color indexed="81"/>
            <rFont val="Tahoma"/>
            <family val="2"/>
          </rPr>
          <t>Rob Squire:</t>
        </r>
        <r>
          <rPr>
            <sz val="9"/>
            <color indexed="81"/>
            <rFont val="Tahoma"/>
            <family val="2"/>
          </rPr>
          <t xml:space="preserve">
12/15/2021 Bought 75 DIS @150.7015 ($11,302.61)
Cost basis is 150.7015 ($11,302.61)
Total of 75 shares in account
</t>
        </r>
      </text>
    </comment>
    <comment ref="GX84" authorId="0" shapeId="0" xr:uid="{01DB01AA-C38C-4575-A021-DB2A45202968}">
      <text>
        <r>
          <rPr>
            <b/>
            <sz val="9"/>
            <color indexed="81"/>
            <rFont val="Tahoma"/>
            <family val="2"/>
          </rPr>
          <t>Rob Squire:</t>
        </r>
        <r>
          <rPr>
            <sz val="9"/>
            <color indexed="81"/>
            <rFont val="Tahoma"/>
            <family val="2"/>
          </rPr>
          <t xml:space="preserve">
12/15/2021 Sold all 240 VZ @ 50.6617 ($12,158.74) 
Cost basis was 60.2016 or $14,448.38
Loss of $2,289.64
0 shares remaining
</t>
        </r>
      </text>
    </comment>
    <comment ref="K85" authorId="0" shapeId="0" xr:uid="{A2F4EA35-1D87-4646-AF77-00E376E0314A}">
      <text>
        <r>
          <rPr>
            <b/>
            <sz val="9"/>
            <color indexed="81"/>
            <rFont val="Tahoma"/>
            <family val="2"/>
          </rPr>
          <t>Rob Squire:</t>
        </r>
        <r>
          <rPr>
            <sz val="9"/>
            <color indexed="81"/>
            <rFont val="Tahoma"/>
            <family val="2"/>
          </rPr>
          <t xml:space="preserve">
Prior to the sale 
# of shares in account 190
Cost basis per share 80.68
This action 
Shares sold 10
Price per share 106.6806
Total received $1,066.80
Cost basis of shares sold $806.80
Profit (loss) $260.00 
After the sale 
Total # of shares remaining 180
Cost basis per share remains at 80.68
Total cost base  $14,522.67
</t>
        </r>
      </text>
    </comment>
    <comment ref="AI85" authorId="0" shapeId="0" xr:uid="{80A96FBD-204A-4A82-8DD6-ADDA42877F4D}">
      <text>
        <r>
          <rPr>
            <b/>
            <sz val="9"/>
            <color indexed="81"/>
            <rFont val="Tahoma"/>
            <family val="2"/>
          </rPr>
          <t>Rob Squire:</t>
        </r>
        <r>
          <rPr>
            <sz val="9"/>
            <color indexed="81"/>
            <rFont val="Tahoma"/>
            <family val="2"/>
          </rPr>
          <t xml:space="preserve">
1/3/2022 Sold 15 ABBV @134.9206 ($2,023.79)
New total 65 shares
Basis was 117.04 or $1,755.60.  Profit was $268.19
Basis is still 117.04 (total of $7,607.60)
</t>
        </r>
      </text>
    </comment>
    <comment ref="DF85" authorId="0" shapeId="0" xr:uid="{28E01998-B3ED-43EF-A4BE-2FC77741A083}">
      <text>
        <r>
          <rPr>
            <b/>
            <sz val="9"/>
            <color indexed="81"/>
            <rFont val="Tahoma"/>
            <family val="2"/>
          </rPr>
          <t>Rob Squire:</t>
        </r>
        <r>
          <rPr>
            <sz val="9"/>
            <color indexed="81"/>
            <rFont val="Tahoma"/>
            <family val="2"/>
          </rPr>
          <t xml:space="preserve">
1/3/2022 Bought 45 BND @ 84.2679 ($3,792.06)
New total is 90 shares
Original basis was 85.645
New basis is 84.96 (total of $7,646.09)
</t>
        </r>
      </text>
    </comment>
    <comment ref="FW85" authorId="0" shapeId="0" xr:uid="{D098B6DE-E6D3-4682-970D-3EFC28F18405}">
      <text>
        <r>
          <rPr>
            <b/>
            <sz val="9"/>
            <color indexed="81"/>
            <rFont val="Tahoma"/>
            <family val="2"/>
          </rPr>
          <t>Rob Squire:</t>
        </r>
        <r>
          <rPr>
            <sz val="9"/>
            <color indexed="81"/>
            <rFont val="Tahoma"/>
            <family val="2"/>
          </rPr>
          <t xml:space="preserve">
Prior to the sale 
# of shares in account 190
Cost basis per share 80.68
This action 
Shares sold 10
Price per share 106.6806
Total received $1,066.80
Cost basis of shares sold $806.80
Profit (loss) $260.00 
After the sale 
Total # of shares remaining 180
Cost basis per share remains at 80.68
Total cost base  $14,522.67
</t>
        </r>
      </text>
    </comment>
    <comment ref="LF85" authorId="0" shapeId="0" xr:uid="{72F6C92C-09CF-4D4D-9295-50DBB2D151E3}">
      <text>
        <r>
          <rPr>
            <b/>
            <sz val="9"/>
            <color indexed="81"/>
            <rFont val="Tahoma"/>
            <family val="2"/>
          </rPr>
          <t>Rob Squire:</t>
        </r>
        <r>
          <rPr>
            <sz val="9"/>
            <color indexed="81"/>
            <rFont val="Tahoma"/>
            <family val="2"/>
          </rPr>
          <t xml:space="preserve">
1/3/2022 Sold 15 ABBV @134.9206 ($2,023.79)
New total 65 shares
Basis was 117.04 or $1,755.60.  Profit was $268.19
Basis is still 117.04 (total of $7,607.60)
</t>
        </r>
      </text>
    </comment>
    <comment ref="LM85" authorId="0" shapeId="0" xr:uid="{E33DF41D-C152-4420-808C-F5FFC17A922E}">
      <text>
        <r>
          <rPr>
            <b/>
            <sz val="9"/>
            <color indexed="81"/>
            <rFont val="Tahoma"/>
            <family val="2"/>
          </rPr>
          <t>Rob Squire:</t>
        </r>
        <r>
          <rPr>
            <sz val="9"/>
            <color indexed="81"/>
            <rFont val="Tahoma"/>
            <family val="2"/>
          </rPr>
          <t xml:space="preserve">
1/3/2022 Bought 45 BND @ 84.2679 ($3,792.06)
New total is 90 shares
Original basis was 85.645
New basis is 84.96 (total of $7,646.09)
</t>
        </r>
      </text>
    </comment>
    <comment ref="LQ85" authorId="0" shapeId="0" xr:uid="{9E667F66-A640-4A1A-A1BC-7DF3603553F2}">
      <text>
        <r>
          <rPr>
            <b/>
            <sz val="9"/>
            <color indexed="81"/>
            <rFont val="Tahoma"/>
            <family val="2"/>
          </rPr>
          <t>Rob Squire:</t>
        </r>
        <r>
          <rPr>
            <sz val="9"/>
            <color indexed="81"/>
            <rFont val="Tahoma"/>
            <family val="2"/>
          </rPr>
          <t xml:space="preserve">
1/3/2022 Sold 10 DGX @ 163.8497 ($1,638.49)
New total is 55 shares
Basis was 140.90 or $1,409.  Profit was $229.49
Basis is still 140.90 (total of $7,749.62)
</t>
        </r>
      </text>
    </comment>
    <comment ref="DF86" authorId="0" shapeId="0" xr:uid="{5E402692-71FA-449C-A278-427C524DE85A}">
      <text>
        <r>
          <rPr>
            <b/>
            <sz val="9"/>
            <color indexed="81"/>
            <rFont val="Tahoma"/>
            <family val="2"/>
          </rPr>
          <t>Rob Squire:</t>
        </r>
        <r>
          <rPr>
            <sz val="9"/>
            <color indexed="81"/>
            <rFont val="Tahoma"/>
            <family val="2"/>
          </rPr>
          <t xml:space="preserve">
PRIOR TO THE PURCHASE 
# of shares in account 90
Cost basis per share 84.96
THIS ACTION 
Shares purchased 40
Price per share 81.325
Total paid $3,253.00
AFTER THE PURCHASE 
New total # of shares in account 130
Cost basis per share  83.84
Total cost base  $10,899.00
</t>
        </r>
      </text>
    </comment>
    <comment ref="FV86" authorId="0" shapeId="0" xr:uid="{65949953-AE28-4A91-9AAF-1FE712AE9516}">
      <text>
        <r>
          <rPr>
            <b/>
            <sz val="9"/>
            <color indexed="81"/>
            <rFont val="Tahoma"/>
            <family val="2"/>
          </rPr>
          <t>Rob Squire:</t>
        </r>
        <r>
          <rPr>
            <sz val="9"/>
            <color indexed="81"/>
            <rFont val="Tahoma"/>
            <family val="2"/>
          </rPr>
          <t xml:space="preserve">
PRIOR TO THE SALE 
# of shares in account 85
Cost basis per share 209.69
THIS ACTION 
Shares sold 10
Price per share 260.51
Total received $2,605.08
Cost basis of shares sold $2,096.90
Profit (loss) $508.18 
AFTER THE SALE 
Total # of shares remaining 75
Cost basis per share remains at 209.69
</t>
        </r>
      </text>
    </comment>
    <comment ref="GJ86" authorId="0" shapeId="0" xr:uid="{88E07442-7CF4-43D2-B68B-709C4416AC55}">
      <text>
        <r>
          <rPr>
            <b/>
            <sz val="9"/>
            <color indexed="81"/>
            <rFont val="Tahoma"/>
            <family val="2"/>
          </rPr>
          <t>Rob Squire:</t>
        </r>
        <r>
          <rPr>
            <sz val="9"/>
            <color indexed="81"/>
            <rFont val="Tahoma"/>
            <family val="2"/>
          </rPr>
          <t xml:space="preserve">
PRIOR TO THE SALE 
# of shares in account 250
Cost basis per share 72.285
THIS ACTION 
Shares sold 25
Price per share 108.675
Total received $2,716.86
Cost basis of shares sold $1,807.13
Profit (loss) $909.74 
AFTER THE SALE 
Total # of shares remaining 225
Cost basis per share remains at 72.285
</t>
        </r>
      </text>
    </comment>
    <comment ref="HQ86" authorId="0" shapeId="0" xr:uid="{08B6D35E-3E3A-4C3A-BB1C-F32A35BF8C8E}">
      <text>
        <r>
          <rPr>
            <b/>
            <sz val="9"/>
            <color indexed="81"/>
            <rFont val="Tahoma"/>
            <family val="2"/>
          </rPr>
          <t xml:space="preserve">PRIOR TO THE PURCHASE 
# of shares in account 250
Cost basis per share 72.1221
THIS ACTION 
Shares purchased 100
Price per share 63.9494
Total paid $6,394.94
AFTER THE PURCHASE 
New total # of shares in account 350
Cost basis per share  69.79
</t>
        </r>
        <r>
          <rPr>
            <sz val="9"/>
            <color indexed="81"/>
            <rFont val="Tahoma"/>
            <family val="2"/>
          </rPr>
          <t xml:space="preserve">
</t>
        </r>
      </text>
    </comment>
    <comment ref="IH86" authorId="0" shapeId="0" xr:uid="{BAFC0463-9A02-49BE-A81E-291D4BC66E6A}">
      <text>
        <r>
          <rPr>
            <b/>
            <sz val="9"/>
            <color indexed="81"/>
            <rFont val="Tahoma"/>
            <family val="2"/>
          </rPr>
          <t>Rob Squire:</t>
        </r>
        <r>
          <rPr>
            <sz val="9"/>
            <color indexed="81"/>
            <rFont val="Tahoma"/>
            <family val="2"/>
          </rPr>
          <t xml:space="preserve">
PRIOR TO THE PURCHASE 
# of shares in account 0
Cost basis per share 0
THIS ACTION 
Shares purchased 100
Price per share 206.13
Total paid $20,613.00
AFTER THE PURCHASE 
New total # of shares in account 100
Cost basis per share  206.13
</t>
        </r>
      </text>
    </comment>
    <comment ref="JI86" authorId="0" shapeId="0" xr:uid="{5AA67587-ED30-4E58-992C-1B06BCC8307B}">
      <text>
        <r>
          <rPr>
            <b/>
            <sz val="9"/>
            <color indexed="81"/>
            <rFont val="Tahoma"/>
            <family val="2"/>
          </rPr>
          <t>Rob Squire:</t>
        </r>
        <r>
          <rPr>
            <sz val="9"/>
            <color indexed="81"/>
            <rFont val="Tahoma"/>
            <family val="2"/>
          </rPr>
          <t xml:space="preserve">
PRIOR TO THE SALE 
# of shares in account 100
Cost basis per share 184.86
THIS ACTION 
Shares sold 100
Price per share 264.52
Total received $26,451.86
Cost basis of shares sold $18,486.00
Profit (loss) $7,965.86 
AFTER THE SALE 
Total # of shares remaining 0
</t>
        </r>
      </text>
    </comment>
    <comment ref="LM86" authorId="0" shapeId="0" xr:uid="{B5E00AE0-AC72-4999-B851-B38FD30A7950}">
      <text>
        <r>
          <rPr>
            <b/>
            <sz val="9"/>
            <color indexed="81"/>
            <rFont val="Tahoma"/>
            <family val="2"/>
          </rPr>
          <t>Rob Squire:</t>
        </r>
        <r>
          <rPr>
            <sz val="9"/>
            <color indexed="81"/>
            <rFont val="Tahoma"/>
            <family val="2"/>
          </rPr>
          <t xml:space="preserve">
PRIOR TO THE PURCHASE 
# of shares in account 90
Cost basis per share 84.96
THIS ACTION 
Shares purchased 40
Price per share 81.325
Total paid $3,253.00
AFTER THE PURCHASE 
New total # of shares in account 130
Cost basis per share  83.84
Total cost base  $10,899.00
</t>
        </r>
      </text>
    </comment>
    <comment ref="MO86" authorId="0" shapeId="0" xr:uid="{2BA3AA58-95B3-418A-9619-3DCBE248EADB}">
      <text>
        <r>
          <rPr>
            <b/>
            <sz val="9"/>
            <color indexed="81"/>
            <rFont val="Tahoma"/>
            <family val="2"/>
          </rPr>
          <t>Rob Squire:</t>
        </r>
        <r>
          <rPr>
            <sz val="9"/>
            <color indexed="81"/>
            <rFont val="Tahoma"/>
            <family val="2"/>
          </rPr>
          <t xml:space="preserve">
PRIOR TO THE SALE 
# of shares in account 95
Cost basis per share 96.19
THIS ACTION 
Shares sold 25
Price per share 112.02
Total received $2,800.48
Cost basis of shares sold $2,404.75
Profit (loss) $395.73 
AFTER THE SALE 
Total # of shares remaining 70
Cost basis per share remains at 96.19
Total cost base  $6,733.45
</t>
        </r>
      </text>
    </comment>
    <comment ref="L87" authorId="0" shapeId="0" xr:uid="{D44F422F-4A4A-4229-8650-0C4C88782658}">
      <text>
        <r>
          <rPr>
            <b/>
            <sz val="9"/>
            <color indexed="81"/>
            <rFont val="Tahoma"/>
            <family val="2"/>
          </rPr>
          <t>Rob Squire:</t>
        </r>
        <r>
          <rPr>
            <sz val="9"/>
            <color indexed="81"/>
            <rFont val="Tahoma"/>
            <family val="2"/>
          </rPr>
          <t xml:space="preserve">
Sale of JPM
Date of Sale 3/22/22
Prior to the sale 
# of shares in account 175
Cost basis per share 117.55
This action 
Shares sold 25
Price per share 142.2301
Total received $3,555.73
Cost basis of shares sold $2,938.75
Profit (loss) $616.98 
After the sale 
Total # of shares remaining 150
Cost basis per share remains at 117.49 ?
</t>
        </r>
      </text>
    </comment>
    <comment ref="DS87" authorId="0" shapeId="0" xr:uid="{18618556-B7D7-47D1-A8C7-A12A89112CB5}">
      <text>
        <r>
          <rPr>
            <b/>
            <sz val="9"/>
            <color indexed="81"/>
            <rFont val="Tahoma"/>
            <family val="2"/>
          </rPr>
          <t>Rob Squire:</t>
        </r>
        <r>
          <rPr>
            <sz val="9"/>
            <color indexed="81"/>
            <rFont val="Tahoma"/>
            <family val="2"/>
          </rPr>
          <t xml:space="preserve">
Purchase of VCLT
Date of Purchase 3/31/22
Prior to the sale 
# of shares in account 0
Cost basis per share 0
This action 
Shares purchased 150
Price per share 93.8956
Total paid $14,084.34
After the sale 
New total # of shares in account 150
Cost basis per share  51.455
</t>
        </r>
      </text>
    </comment>
    <comment ref="FN87" authorId="0" shapeId="0" xr:uid="{5786F0D3-9BD4-47EC-9479-C3D0830867A0}">
      <text>
        <r>
          <rPr>
            <b/>
            <sz val="9"/>
            <color indexed="81"/>
            <rFont val="Tahoma"/>
            <family val="2"/>
          </rPr>
          <t>Rob Squire:</t>
        </r>
        <r>
          <rPr>
            <sz val="9"/>
            <color indexed="81"/>
            <rFont val="Tahoma"/>
            <family val="2"/>
          </rPr>
          <t xml:space="preserve">
Purchase of DIS
Date of Purchase 3/24/22
Prior to the sale 
# of shares in account 75
Cost basis per share 150.7015
This action 
Shares purchased 25
Price per share 138.62
Total paid $3,465.50
After the sale 
New total # of shares in account 100
Cost basis per share  147.68
</t>
        </r>
      </text>
    </comment>
    <comment ref="FY87" authorId="0" shapeId="0" xr:uid="{7C3FF868-0859-4782-B190-63CE07ADBA32}">
      <text>
        <r>
          <rPr>
            <b/>
            <sz val="9"/>
            <color indexed="81"/>
            <rFont val="Tahoma"/>
            <family val="2"/>
          </rPr>
          <t>Rob Squire:</t>
        </r>
        <r>
          <rPr>
            <sz val="9"/>
            <color indexed="81"/>
            <rFont val="Tahoma"/>
            <family val="2"/>
          </rPr>
          <t xml:space="preserve">
Sale of JPM
Date of Sale 3/22/22
Prior to the sale 
# of shares in account 175
Cost basis per share 117.55
This action 
Shares sold 25
Price per share 142.2301
Total received $3,555.73
Cost basis of shares sold $2,938.75
Profit (loss) $616.98 
After the sale 
Total # of shares remaining 150
Cost basis per share remains at 117.49 ?
</t>
        </r>
      </text>
    </comment>
    <comment ref="IJ87" authorId="0" shapeId="0" xr:uid="{02149D98-4538-4F01-B826-EFB4D3DF14F6}">
      <text>
        <r>
          <rPr>
            <b/>
            <sz val="9"/>
            <color indexed="81"/>
            <rFont val="Tahoma"/>
            <family val="2"/>
          </rPr>
          <t>Rob Squire:</t>
        </r>
        <r>
          <rPr>
            <sz val="9"/>
            <color indexed="81"/>
            <rFont val="Tahoma"/>
            <family val="2"/>
          </rPr>
          <t xml:space="preserve">
Sale of GD
Prior to the sale 
# of shares in account 115
Cost basis per share 150.4073
This action 
Shares sold 25
Price per share 237.1621
Total received $5,929.01
Cost basis of shares sold $3,760.18
Profit (loss) $2,168.83 
After the sale 
Total # of shares remaining 90
Cost basis per share remains at 150.4073
Sale of GD
Date of Sale 3/30/22
Prior to the sale 
# of shares in account 90
Cost basis per share 150.4073
This action 
Shares sold 90
Price per share 243.4232
Total received $21,907.97
Cost basis of shares sold $13,536.66
Profit (loss) $8,371.31 
After the sale 
Total # of shares remaining 0
Cost basis per share remains at 0
</t>
        </r>
      </text>
    </comment>
    <comment ref="JT87" authorId="0" shapeId="0" xr:uid="{504DE369-5E15-4E31-816D-363A3531CF46}">
      <text>
        <r>
          <rPr>
            <b/>
            <sz val="9"/>
            <color indexed="81"/>
            <rFont val="Tahoma"/>
            <family val="2"/>
          </rPr>
          <t>Rob Squire:</t>
        </r>
        <r>
          <rPr>
            <sz val="9"/>
            <color indexed="81"/>
            <rFont val="Tahoma"/>
            <family val="2"/>
          </rPr>
          <t xml:space="preserve">
Purchase of SBUX
Prior to the sale 
# of shares in account 200
Cost basis per share 101.53
This action 
Shares purchased 75
Price per share 84.5998
Total paid $6,344.99
After the sale 
New total # of shares in account 275
Cost basis per share  96.91
</t>
        </r>
      </text>
    </comment>
    <comment ref="KO87" authorId="0" shapeId="0" xr:uid="{EAE6B7DA-236A-46A7-9127-DEB83A889A1F}">
      <text>
        <r>
          <rPr>
            <b/>
            <sz val="9"/>
            <color indexed="81"/>
            <rFont val="Tahoma"/>
            <family val="2"/>
          </rPr>
          <t>Rob Squire:</t>
        </r>
        <r>
          <rPr>
            <sz val="9"/>
            <color indexed="81"/>
            <rFont val="Tahoma"/>
            <family val="2"/>
          </rPr>
          <t xml:space="preserve">
Purchase of VZ
Date of Purchase 3/30/22
Prior to the sale 
# of shares in account 0
Cost basis per share 0
This action 
Shares purchased 450
Price per share 51.455
Total paid $23,154.75
After the sale 
New total # of shares in account 450
Cost basis per share  51.455
</t>
        </r>
      </text>
    </comment>
    <comment ref="LU87" authorId="0" shapeId="0" xr:uid="{24A09936-642F-4FE9-80BF-F1FB4ADE6BE2}">
      <text>
        <r>
          <rPr>
            <b/>
            <sz val="9"/>
            <color indexed="81"/>
            <rFont val="Tahoma"/>
            <family val="2"/>
          </rPr>
          <t>Rob Squire:</t>
        </r>
        <r>
          <rPr>
            <sz val="9"/>
            <color indexed="81"/>
            <rFont val="Tahoma"/>
            <family val="2"/>
          </rPr>
          <t xml:space="preserve">
Sale of FLRN
Date of Sale 3/31/22
Prior to the sale 
# of shares in account 500
Cost basis per share 30.655
This action 
Shares sold 500
Price per share 30.4953
Total received $15,247.57
Cost basis of shares sold $15,327.50
Profit (loss) ($79.93)
After the sale 
Total # of shares remaining 0
Cost basis per share remains at 0
</t>
        </r>
      </text>
    </comment>
    <comment ref="ND87" authorId="0" shapeId="0" xr:uid="{D0F3B5FF-B400-4FE0-B125-573226728B12}">
      <text>
        <r>
          <rPr>
            <b/>
            <sz val="9"/>
            <color indexed="81"/>
            <rFont val="Tahoma"/>
            <family val="2"/>
          </rPr>
          <t>Rob Squire:</t>
        </r>
        <r>
          <rPr>
            <sz val="9"/>
            <color indexed="81"/>
            <rFont val="Tahoma"/>
            <family val="2"/>
          </rPr>
          <t xml:space="preserve">
Purchase of VCLT
Date of Purchase 3/31/22
Prior to the sale 
# of shares in account 0
Cost basis per share 0
This action 
Shares purchased 150
Price per share 93.8956
Total paid $14,084.34
After the sale 
New total # of shares in account 150
Cost basis per share  51.455
</t>
        </r>
      </text>
    </comment>
    <comment ref="AL88" authorId="0" shapeId="0" xr:uid="{115F7777-3037-42D0-A134-E9F9E657CAF7}">
      <text>
        <r>
          <rPr>
            <b/>
            <sz val="9"/>
            <color indexed="81"/>
            <rFont val="Tahoma"/>
            <family val="2"/>
          </rPr>
          <t>Rob Squire:</t>
        </r>
        <r>
          <rPr>
            <sz val="9"/>
            <color indexed="81"/>
            <rFont val="Tahoma"/>
            <family val="2"/>
          </rPr>
          <t xml:space="preserve">
Sale of AZO
Date of Sale 4/8/22
Prior to the sale 
# of shares in account 15
Cost basis per share 1164.1974
This action 
Shares sold 2
Price per share 2198.99
Total received $4,397.95
Cost basis of shares sold $2,328.39
Profit (loss) $2,069.56 
After the sale 
Total # of shares remaining 13
Cost basis per share remains at 1164.1974
</t>
        </r>
      </text>
    </comment>
    <comment ref="BX88" authorId="0" shapeId="0" xr:uid="{94D38ED2-19BE-4934-B175-FDC7AD687685}">
      <text>
        <r>
          <rPr>
            <b/>
            <sz val="9"/>
            <color indexed="81"/>
            <rFont val="Tahoma"/>
            <family val="2"/>
          </rPr>
          <t>Rob Squire:</t>
        </r>
        <r>
          <rPr>
            <sz val="9"/>
            <color indexed="81"/>
            <rFont val="Tahoma"/>
            <family val="2"/>
          </rPr>
          <t xml:space="preserve">
Sale of PEG
Date of Sale 4/29/22
Prior to the sale 
# of shares in account 100
Cost basis per share 62.85
This action 
Shares sold 30
Price per share 70.2075
Total received $2,106.21
Cost basis of shares sold $1,885.50
Profit (loss) $220.71 
After the sale 
Total # of shares remaining 70
Cost basis per share remains at 62.85</t>
        </r>
      </text>
    </comment>
    <comment ref="HN88" authorId="0" shapeId="0" xr:uid="{78957EF8-31C3-4BDB-9B90-03F596DF50EC}">
      <text>
        <r>
          <rPr>
            <b/>
            <sz val="9"/>
            <color indexed="81"/>
            <rFont val="Tahoma"/>
            <family val="2"/>
          </rPr>
          <t>Rob Squire:</t>
        </r>
        <r>
          <rPr>
            <sz val="9"/>
            <color indexed="81"/>
            <rFont val="Tahoma"/>
            <family val="2"/>
          </rPr>
          <t xml:space="preserve">
Sale of AZO
Date of Sale 4/8/22
Prior to the sale 
# of shares in account 15
Cost basis per share 1164.1974
This action 
Shares sold 2
Price per share 2198.99
Total received $4,397.95
Cost basis of shares sold $2,328.39
Profit (loss) $2,069.56 
After the sale 
Total # of shares remaining 13
Cost basis per share remains at 1164.1974
</t>
        </r>
      </text>
    </comment>
    <comment ref="JK88" authorId="0" shapeId="0" xr:uid="{CBABB358-D5D5-4288-82A7-FCFDE3C5F6BE}">
      <text>
        <r>
          <rPr>
            <b/>
            <sz val="9"/>
            <color indexed="81"/>
            <rFont val="Tahoma"/>
            <family val="2"/>
          </rPr>
          <t>Rob Squire:</t>
        </r>
        <r>
          <rPr>
            <sz val="9"/>
            <color indexed="81"/>
            <rFont val="Tahoma"/>
            <family val="2"/>
          </rPr>
          <t xml:space="preserve">
Purchase of MMM
Date of Purchase 4/8/22
Prior to the sale 
# of shares in account 110
Cost basis per share 171.29
This action 
Shares purchased 30
Price per share 149.9475
Total paid $4,498.43
After the sale 
New total # of shares in account 140
Cost basis per share  166.72
</t>
        </r>
      </text>
    </comment>
    <comment ref="LU88" authorId="0" shapeId="0" xr:uid="{4D0E27E6-8309-4A4F-A0F9-79EEBA4C7A24}">
      <text>
        <r>
          <rPr>
            <b/>
            <sz val="9"/>
            <color indexed="81"/>
            <rFont val="Tahoma"/>
            <family val="2"/>
          </rPr>
          <t xml:space="preserve">Rob Squire:
</t>
        </r>
        <r>
          <rPr>
            <sz val="9"/>
            <color indexed="81"/>
            <rFont val="Tahoma"/>
            <family val="2"/>
          </rPr>
          <t xml:space="preserve">Purchase of FLRN
Date of Purchase 4/29/22
Prior to the sale  
# of shares in account 0
Cost basis per share  
This action  
Shares purchased 225
Price per share 30.485
Total paid $6,859.13
After the sale  
New total # of shares in account 225
Cost basis per share  30.485
</t>
        </r>
        <r>
          <rPr>
            <sz val="9"/>
            <color indexed="81"/>
            <rFont val="Tahoma"/>
            <family val="2"/>
          </rPr>
          <t xml:space="preserve">
</t>
        </r>
      </text>
    </comment>
    <comment ref="MM88" authorId="0" shapeId="0" xr:uid="{4F3BE81B-5476-4DFF-9D1F-E61F718DE07D}">
      <text>
        <r>
          <rPr>
            <b/>
            <sz val="9"/>
            <color indexed="81"/>
            <rFont val="Tahoma"/>
            <family val="2"/>
          </rPr>
          <t>Rob Squire:</t>
        </r>
        <r>
          <rPr>
            <sz val="9"/>
            <color indexed="81"/>
            <rFont val="Tahoma"/>
            <family val="2"/>
          </rPr>
          <t xml:space="preserve">
Sale of PEG
Date of Sale 4/29/22
Prior to the sale 
# of shares in account 100
Cost basis per share 62.85
This action 
Shares sold 30
Price per share 70.2075
Total received $2,106.21
Cost basis of shares sold $1,885.50
Profit (loss) $220.71 
After the sale 
Total # of shares remaining 70
Cost basis per share remains at 62.85</t>
        </r>
      </text>
    </comment>
    <comment ref="NL88" authorId="0" shapeId="0" xr:uid="{7C0E29C2-7BF5-4B7C-B48D-56C36183A7B8}">
      <text>
        <r>
          <rPr>
            <b/>
            <sz val="9"/>
            <color indexed="81"/>
            <rFont val="Tahoma"/>
            <family val="2"/>
          </rPr>
          <t>Rob Squire:</t>
        </r>
        <r>
          <rPr>
            <sz val="9"/>
            <color indexed="81"/>
            <rFont val="Tahoma"/>
            <family val="2"/>
          </rPr>
          <t xml:space="preserve">
Sale of WEC
Date of Sale 4/29/22
Prior to the sale 
# of shares in account 90
Cost basis per share 89.68
This action 
Shares sold 25
Price per share 100.83
Total received $2,520.73
Cost basis of shares sold $2,242.00
Profit (loss) $278.73 
After the sale 
Total # of shares remaining 65
Cost basis per share remains at 89.68</t>
        </r>
      </text>
    </comment>
    <comment ref="C89" authorId="0" shapeId="0" xr:uid="{23045B1F-970E-4B52-8E33-501436F22979}">
      <text>
        <r>
          <rPr>
            <b/>
            <sz val="9"/>
            <color indexed="81"/>
            <rFont val="Tahoma"/>
            <family val="2"/>
          </rPr>
          <t>Rob Squire:</t>
        </r>
        <r>
          <rPr>
            <sz val="9"/>
            <color indexed="81"/>
            <rFont val="Tahoma"/>
            <family val="2"/>
          </rPr>
          <t xml:space="preserve">
5/16 xferred out $25k to checking for living expenses</t>
        </r>
      </text>
    </comment>
    <comment ref="J89" authorId="0" shapeId="0" xr:uid="{E7B4C011-5C48-4CCC-9AE6-F36AF26AADE8}">
      <text>
        <r>
          <rPr>
            <b/>
            <sz val="9"/>
            <color indexed="81"/>
            <rFont val="Tahoma"/>
            <family val="2"/>
          </rPr>
          <t>Rob Squire:</t>
        </r>
        <r>
          <rPr>
            <sz val="9"/>
            <color indexed="81"/>
            <rFont val="Tahoma"/>
            <family val="2"/>
          </rPr>
          <t xml:space="preserve">
Sale of IEMG
Date of Sale 5/16/22
Prior to the sale 
# of shares in account 300
Cost basis per share 54.8018
This action 
Shares sold 300
Price per share 49.735
Total received $14,920.15
Cost basis of shares sold $16,440.54
Profit (loss) ($1,520.39)
After the sale 
Total # of shares remaining 0
Cost basis per share remains at 0
</t>
        </r>
      </text>
    </comment>
    <comment ref="FU89" authorId="0" shapeId="0" xr:uid="{D1B1DCC5-EBAB-442F-98F8-CB70CBF1BE5E}">
      <text>
        <r>
          <rPr>
            <b/>
            <sz val="9"/>
            <color indexed="81"/>
            <rFont val="Tahoma"/>
            <family val="2"/>
          </rPr>
          <t>Rob Squire:</t>
        </r>
        <r>
          <rPr>
            <sz val="9"/>
            <color indexed="81"/>
            <rFont val="Tahoma"/>
            <family val="2"/>
          </rPr>
          <t xml:space="preserve">
Sale of IEMG
Date of Sale 5/16/22
Prior to the sale 
# of shares in account 300
Cost basis per share 54.8018
This action 
Shares sold 300
Price per share 49.735
Total received $14,920.15
Cost basis of shares sold $16,440.54
Profit (loss) ($1,520.39)
After the sale 
Total # of shares remaining 0
Cost basis per share remains at 0
</t>
        </r>
      </text>
    </comment>
    <comment ref="GW89" authorId="0" shapeId="0" xr:uid="{05AD3A4F-8819-4998-B816-B06794F4A83F}">
      <text>
        <r>
          <rPr>
            <b/>
            <sz val="9"/>
            <color indexed="81"/>
            <rFont val="Tahoma"/>
            <family val="2"/>
          </rPr>
          <t>Rob Squire:</t>
        </r>
        <r>
          <rPr>
            <sz val="9"/>
            <color indexed="81"/>
            <rFont val="Tahoma"/>
            <family val="2"/>
          </rPr>
          <t xml:space="preserve">
Purchase of VWO
Date of Purchase 5/16/22
Prior to the sale 
# of shares in account 0
Cost basis per share 
This action 
Shares purchased 350
Price per share 41.3531
Total paid $14,473.59
After the sale 
New total # of shares in account 350
Cost basis per share  30.485
</t>
        </r>
      </text>
    </comment>
    <comment ref="L90" authorId="0" shapeId="0" xr:uid="{6098ED6A-6323-43E9-A66F-48EAA1535A66}">
      <text>
        <r>
          <rPr>
            <b/>
            <sz val="9"/>
            <color indexed="81"/>
            <rFont val="Tahoma"/>
            <family val="2"/>
          </rPr>
          <t>Rob Squire:</t>
        </r>
        <r>
          <rPr>
            <sz val="9"/>
            <color indexed="81"/>
            <rFont val="Tahoma"/>
            <family val="2"/>
          </rPr>
          <t xml:space="preserve">
Purchase of JPM
Date of Purchase 6/14/22
Prior to the sale 
# of shares in account 150
Cost basis per share 117.49
This action 
Shares purchased 10
Price per share 114.23
Total paid $1,142.30
After the sale 
New total # of shares in account 160
Cost basis per share  117.29
</t>
        </r>
      </text>
    </comment>
    <comment ref="AL90" authorId="0" shapeId="0" xr:uid="{055F2274-9BCA-44B7-837B-93CAE9D60349}">
      <text>
        <r>
          <rPr>
            <b/>
            <sz val="9"/>
            <color indexed="81"/>
            <rFont val="Tahoma"/>
            <family val="2"/>
          </rPr>
          <t>Rob Squire:</t>
        </r>
        <r>
          <rPr>
            <sz val="9"/>
            <color indexed="81"/>
            <rFont val="Tahoma"/>
            <family val="2"/>
          </rPr>
          <t xml:space="preserve">
Sale of AZO
Date of Sale 7/15/22
Prior to the sale 
# of shares in account 13
Cost basis per share 1164.1974
This action 
Shares sold 2
Price per share 2183.45
Total received $4,366.80
Cost basis of shares sold $2,328.39
Profit (loss) $2,038.41 
After the sale 
Total # of shares remaining 11
Cost basis per share remains at 1164.1974
</t>
        </r>
      </text>
    </comment>
    <comment ref="BJ90" authorId="0" shapeId="0" xr:uid="{53458FC0-9140-4BC8-93FA-F4B245883EA4}">
      <text>
        <r>
          <rPr>
            <b/>
            <sz val="9"/>
            <color indexed="81"/>
            <rFont val="Tahoma"/>
            <family val="2"/>
          </rPr>
          <t>Rob Squire:</t>
        </r>
        <r>
          <rPr>
            <sz val="9"/>
            <color indexed="81"/>
            <rFont val="Tahoma"/>
            <family val="2"/>
          </rPr>
          <t xml:space="preserve">
Purchase of HD
Date of Purchase 7/15/22
Prior to the sale 
# of shares in account 60
Cost basis per share 273.455
This action 
Shares purchased 15
Price per share 287.6358
Total paid $2,237.75
After the purchase 
New total # of shares in account 75
Cost basis per share  276.29
</t>
        </r>
      </text>
    </comment>
    <comment ref="BZ90" authorId="0" shapeId="0" xr:uid="{056BB2FB-2DD2-448A-9825-34CB7A5D685B}">
      <text>
        <r>
          <rPr>
            <b/>
            <sz val="9"/>
            <color indexed="81"/>
            <rFont val="Tahoma"/>
            <family val="2"/>
          </rPr>
          <t>Rob Squire:</t>
        </r>
        <r>
          <rPr>
            <sz val="9"/>
            <color indexed="81"/>
            <rFont val="Tahoma"/>
            <family val="2"/>
          </rPr>
          <t xml:space="preserve">
Purchase of PPL
Date of Purchase 6/10/22
Prior to the sale 
# of shares in account 0
Cost basis per share 0
This action 
Shares purchased 250
Price per share 28.5041
Total paid $7,126.03
After the sale 
New total # of shares in account 250
Cost basis per share  28.5
</t>
        </r>
      </text>
    </comment>
    <comment ref="CH90" authorId="0" shapeId="0" xr:uid="{B0458D63-2491-4EC8-A869-521BD38AA7AB}">
      <text>
        <r>
          <rPr>
            <b/>
            <sz val="9"/>
            <color indexed="81"/>
            <rFont val="Tahoma"/>
            <family val="2"/>
          </rPr>
          <t>Rob Squire:</t>
        </r>
        <r>
          <rPr>
            <sz val="9"/>
            <color indexed="81"/>
            <rFont val="Tahoma"/>
            <family val="2"/>
          </rPr>
          <t xml:space="preserve">
Sale of UNH
Date of Sale 6/23/22
Prior to the sale 
# of shares in account 60
Cost basis per share 382.93
This action 
Shares sold 10
Price per share 498.3561
Total received $4,983.44
Cost basis of shares sold $3,829.30
Profit (loss) $1,154.14 
After the sale 
Total # of shares remaining 50
Cost basis per share remains at 382.93
</t>
        </r>
      </text>
    </comment>
    <comment ref="FC90" authorId="0" shapeId="0" xr:uid="{16EE5964-7940-43BC-A821-FDFB0FEEAB25}">
      <text>
        <r>
          <rPr>
            <b/>
            <sz val="9"/>
            <color indexed="81"/>
            <rFont val="Tahoma"/>
            <family val="2"/>
          </rPr>
          <t>Rob Squire:</t>
        </r>
        <r>
          <rPr>
            <sz val="9"/>
            <color indexed="81"/>
            <rFont val="Tahoma"/>
            <family val="2"/>
          </rPr>
          <t xml:space="preserve">
20 to 1 stock split
Date of Split 6/6/22
Prior to the sale 
# of shares in account 5
Cost basis per share 3,169.9
After the split
New total # of shares in account 100
Cost basis per share  158.5
</t>
        </r>
      </text>
    </comment>
    <comment ref="FY90" authorId="0" shapeId="0" xr:uid="{CE47AD09-BC3F-4E35-AF1F-4D422304E70D}">
      <text>
        <r>
          <rPr>
            <b/>
            <sz val="9"/>
            <color indexed="81"/>
            <rFont val="Tahoma"/>
            <family val="2"/>
          </rPr>
          <t>Rob Squire:</t>
        </r>
        <r>
          <rPr>
            <sz val="9"/>
            <color indexed="81"/>
            <rFont val="Tahoma"/>
            <family val="2"/>
          </rPr>
          <t xml:space="preserve">
Purchase of JPM
Date of Purchase 6/14/22
Prior to the sale 
# of shares in account 150
Cost basis per share 117.49
This action 
Shares purchased 10
Price per share 114.23
Total paid $1,142.30
After the sale 
New total # of shares in account 160
Cost basis per share  117.29
</t>
        </r>
      </text>
    </comment>
    <comment ref="HN90" authorId="0" shapeId="0" xr:uid="{2B98E037-222B-4942-9469-F1402787E7BD}">
      <text>
        <r>
          <rPr>
            <b/>
            <sz val="9"/>
            <color indexed="81"/>
            <rFont val="Tahoma"/>
            <family val="2"/>
          </rPr>
          <t>Rob Squire:</t>
        </r>
        <r>
          <rPr>
            <sz val="9"/>
            <color indexed="81"/>
            <rFont val="Tahoma"/>
            <family val="2"/>
          </rPr>
          <t xml:space="preserve">
Sale of AZO
Date of Sale 7/15/22
Prior to the sale 
# of shares in account 13
Cost basis per share 1164.1974
This action 
Shares sold 2
Price per share 2183.45
Total received $4,366.80
Cost basis of shares sold $2,328.39
Profit (loss) $2,038.41 
After the sale 
Total # of shares remaining 11
Cost basis per share remains at 1164.1974
</t>
        </r>
      </text>
    </comment>
    <comment ref="IH90" authorId="0" shapeId="0" xr:uid="{E37465C9-CF5D-487D-BF40-55D828768D26}">
      <text>
        <r>
          <rPr>
            <b/>
            <sz val="9"/>
            <color indexed="81"/>
            <rFont val="Tahoma"/>
            <family val="2"/>
          </rPr>
          <t>Rob Squire:</t>
        </r>
        <r>
          <rPr>
            <sz val="9"/>
            <color indexed="81"/>
            <rFont val="Tahoma"/>
            <family val="2"/>
          </rPr>
          <t xml:space="preserve">
Purchase of META
Date of Purchase 6/23/22
Prior to the sale 
# of shares in account 100
Cost basis per share 206.13
This action 
Shares purchased 25
Price per share 159.1046
Total paid $3,977.62
After the sale 
New total # of shares in account 125
Cost basis per share  196.72
</t>
        </r>
      </text>
    </comment>
    <comment ref="IP90" authorId="0" shapeId="0" xr:uid="{7BAD364D-900E-4EFE-8513-66E4AC73DAD0}">
      <text>
        <r>
          <rPr>
            <b/>
            <sz val="9"/>
            <color indexed="81"/>
            <rFont val="Tahoma"/>
            <family val="2"/>
          </rPr>
          <t>Rob Squire:</t>
        </r>
        <r>
          <rPr>
            <sz val="9"/>
            <color indexed="81"/>
            <rFont val="Tahoma"/>
            <family val="2"/>
          </rPr>
          <t xml:space="preserve">
Purchase of HD
Date of Purchase 7/15/22
Prior to the sale 
# of shares in account 60
Cost basis per share 273.455
This action 
Shares purchased 15
Price per share 287.6358
Total paid $2,237.75
After the purchase 
New total # of shares in account 75
Cost basis per share  276.29
</t>
        </r>
      </text>
    </comment>
    <comment ref="IW90" authorId="0" shapeId="0" xr:uid="{27FD9EBE-9281-421B-9252-2FAF4E318D97}">
      <text>
        <r>
          <rPr>
            <b/>
            <sz val="9"/>
            <color indexed="81"/>
            <rFont val="Tahoma"/>
            <family val="2"/>
          </rPr>
          <t>Rob Squire:</t>
        </r>
        <r>
          <rPr>
            <sz val="9"/>
            <color indexed="81"/>
            <rFont val="Tahoma"/>
            <family val="2"/>
          </rPr>
          <t xml:space="preserve">
Sale of JNJ
Date of Sale 6/3/22
Prior to the sale 
# of shares in account 120
Cost basis per share 147.795
This action 
Shares sold 120
Price per share 176.5514
Total received $21,185.68
Cost basis of shares sold $17,735.40
Profit (loss) $3,450.28 
After the sale 
Total # of shares remaining 0
Cost basis per share remains at 0
</t>
        </r>
      </text>
    </comment>
    <comment ref="JN90" authorId="0" shapeId="0" xr:uid="{52E99B90-0DC8-4833-9912-8802075DE626}">
      <text>
        <r>
          <rPr>
            <b/>
            <sz val="9"/>
            <color indexed="81"/>
            <rFont val="Tahoma"/>
            <family val="2"/>
          </rPr>
          <t>Rob Squire:</t>
        </r>
        <r>
          <rPr>
            <sz val="9"/>
            <color indexed="81"/>
            <rFont val="Tahoma"/>
            <family val="2"/>
          </rPr>
          <t xml:space="preserve">
Purchase of NKE
Date of Purchase 6/3/22
Prior to the sale 
# of shares in account 0
Cost basis per share 
This action 
Shares purchased 175
Price per share 121.0751
Total paid $21,188.14
After the sale 
New total # of shares in account 175
Cost basis per share  121.0751
</t>
        </r>
      </text>
    </comment>
    <comment ref="JX90" authorId="0" shapeId="0" xr:uid="{ED258AA9-0CE0-46AC-8584-848300FFD597}">
      <text>
        <r>
          <rPr>
            <b/>
            <sz val="9"/>
            <color indexed="81"/>
            <rFont val="Tahoma"/>
            <family val="2"/>
          </rPr>
          <t>Rob Squire:</t>
        </r>
        <r>
          <rPr>
            <sz val="9"/>
            <color indexed="81"/>
            <rFont val="Tahoma"/>
            <family val="2"/>
          </rPr>
          <t xml:space="preserve">
Sale of UNH
Date of Sale 6/23/22
Prior to the sale 
# of shares in account 60
Cost basis per share 382.93
This action 
Shares sold 10
Price per share 498.3561
Total received $4,983.44
Cost basis of shares sold $3,829.30
Profit (loss) $1,154.14 
After the sale 
Total # of shares remaining 50
Cost basis per share remains at 382.93
</t>
        </r>
      </text>
    </comment>
    <comment ref="KS90" authorId="0" shapeId="0" xr:uid="{A915D0A4-1EF3-45FD-8657-9D751F22F1A2}">
      <text>
        <r>
          <rPr>
            <b/>
            <sz val="9"/>
            <color indexed="81"/>
            <rFont val="Tahoma"/>
            <family val="2"/>
          </rPr>
          <t>Rob Squire:</t>
        </r>
        <r>
          <rPr>
            <sz val="9"/>
            <color indexed="81"/>
            <rFont val="Tahoma"/>
            <family val="2"/>
          </rPr>
          <t xml:space="preserve">
Purchase of XLF
Date of Purchase 6/14/22
Prior to the sale 
# of shares in account 625
Cost basis per share 27.225
This action 
Shares purchased 50
Price per share 31.315
Total paid $1,565.75
After the sale 
New total # of shares in account 675
Cost basis per share  27.53
</t>
        </r>
      </text>
    </comment>
    <comment ref="LU90" authorId="0" shapeId="0" xr:uid="{68342D84-AF22-450C-9F6A-57C343128454}">
      <text>
        <r>
          <rPr>
            <b/>
            <sz val="9"/>
            <color indexed="81"/>
            <rFont val="Tahoma"/>
            <family val="2"/>
          </rPr>
          <t>Rob Squire:</t>
        </r>
        <r>
          <rPr>
            <sz val="9"/>
            <color indexed="81"/>
            <rFont val="Tahoma"/>
            <family val="2"/>
          </rPr>
          <t xml:space="preserve">
Purchase of FLRN
Date of Purchase 6/7/22
Prior to the sale 
# of shares in account 225
Cost basis per share 30.485
This action 
Shares purchased 50
Price per share 30.3667
Total paid $1,518.34
After the sale 
New total # of shares in account 275
Cost basis per share  30.46
</t>
        </r>
      </text>
    </comment>
    <comment ref="MQ90" authorId="0" shapeId="0" xr:uid="{316ABDBC-B61C-43F3-A43D-356A51E102AD}">
      <text>
        <r>
          <rPr>
            <b/>
            <sz val="9"/>
            <color indexed="81"/>
            <rFont val="Tahoma"/>
            <family val="2"/>
          </rPr>
          <t>Rob Squire:</t>
        </r>
        <r>
          <rPr>
            <sz val="9"/>
            <color indexed="81"/>
            <rFont val="Tahoma"/>
            <family val="2"/>
          </rPr>
          <t xml:space="preserve">
Purchase of PPL
Date of Purchase 6/10/22
Prior to the sale 
# of shares in account 0
Cost basis per share 0
This action 
Shares purchased 250
Price per share 28.5041
Total paid $7,126.03
After the sale 
New total # of shares in account 250
Cost basis per share  28.5
</t>
        </r>
      </text>
    </comment>
    <comment ref="NL90" authorId="0" shapeId="0" xr:uid="{CBAE2946-19B6-4020-B58D-32EC8FA16C8C}">
      <text>
        <r>
          <rPr>
            <b/>
            <sz val="9"/>
            <color indexed="81"/>
            <rFont val="Tahoma"/>
            <family val="2"/>
          </rPr>
          <t>Rob Squire:</t>
        </r>
        <r>
          <rPr>
            <sz val="9"/>
            <color indexed="81"/>
            <rFont val="Tahoma"/>
            <family val="2"/>
          </rPr>
          <t xml:space="preserve">
Sale of WEC
Date of Sale 6/10/22
Prior to the sale 
# of shares in account 65
Cost basis per share 89.68
This action 
Shares sold 65
Price per share 99.2126
Total received $6,448.67
Cost basis of shares sold $5,829.20
Profit (loss) $619.47 
After the sale 
Total # of shares remaining 0
Cost basis per share remains at 0
</t>
        </r>
      </text>
    </comment>
    <comment ref="C91" authorId="0" shapeId="0" xr:uid="{91F142C8-5319-4D0D-BAC8-95351292D543}">
      <text>
        <r>
          <rPr>
            <b/>
            <sz val="9"/>
            <color indexed="81"/>
            <rFont val="Tahoma"/>
            <family val="2"/>
          </rPr>
          <t>Rob Squire:</t>
        </r>
        <r>
          <rPr>
            <sz val="9"/>
            <color indexed="81"/>
            <rFont val="Tahoma"/>
            <family val="2"/>
          </rPr>
          <t xml:space="preserve">
Transferred $15k to FirstBank checking for living expenses</t>
        </r>
      </text>
    </comment>
    <comment ref="AT91" authorId="0" shapeId="0" xr:uid="{19126092-E45B-46DC-A4E5-979ADAF985D3}">
      <text>
        <r>
          <rPr>
            <b/>
            <sz val="9"/>
            <color indexed="81"/>
            <rFont val="Tahoma"/>
            <family val="2"/>
          </rPr>
          <t>Rob Squire:</t>
        </r>
        <r>
          <rPr>
            <sz val="9"/>
            <color indexed="81"/>
            <rFont val="Tahoma"/>
            <family val="2"/>
          </rPr>
          <t xml:space="preserve">
Purchase of DAL
Date of Purchase 7/25/22
Prior to the sale 
# of shares in account 1150
Cost basis per share 33.68
This action 
Shares purchased 1600
Price per share 31.225
Total paid $49,960.00
After the sale 
New total # of shares in account 2750
Cost basis per share  32.25
</t>
        </r>
      </text>
    </comment>
    <comment ref="HO92" authorId="0" shapeId="0" xr:uid="{BC16C772-D508-4BB6-A83B-6C624D8CD22E}">
      <text>
        <r>
          <rPr>
            <b/>
            <sz val="9"/>
            <color indexed="81"/>
            <rFont val="Tahoma"/>
            <family val="2"/>
          </rPr>
          <t>Rob Squire:</t>
        </r>
        <r>
          <rPr>
            <sz val="9"/>
            <color indexed="81"/>
            <rFont val="Tahoma"/>
            <family val="2"/>
          </rPr>
          <t xml:space="preserve">
Sale of BAC
Date of Sale 8/24/22
Prior to the sale 
# of shares in account 600
Cost basis per share 28.055
This action 
Shares sold 600
Price per share 34.6532
Total received $20,791.44
Cost basis of shares sold $16,833.00
Profit (loss) $3,958.44 
After the sale 
Total # of shares remaining 0
Cost basis per share remains at 0
</t>
        </r>
      </text>
    </comment>
    <comment ref="HR92" authorId="0" shapeId="0" xr:uid="{60059A38-6764-4C3B-B9CB-39EC929B6D82}">
      <text>
        <r>
          <rPr>
            <b/>
            <sz val="9"/>
            <color indexed="81"/>
            <rFont val="Tahoma"/>
            <family val="2"/>
          </rPr>
          <t>Rob Squire:</t>
        </r>
        <r>
          <rPr>
            <sz val="9"/>
            <color indexed="81"/>
            <rFont val="Tahoma"/>
            <family val="2"/>
          </rPr>
          <t xml:space="preserve">
Purchase of BK
Date of Purchase 8/24/22
Prior to the sale 
# of shares in account 0
Cost basis per share 0
This action 
Shares purchased 500
Price per share 43.2962
Total paid $21,648.10
After the sale 
New total # of shares in account 500
Cost basis per share  32.25
</t>
        </r>
      </text>
    </comment>
    <comment ref="KO92" authorId="0" shapeId="0" xr:uid="{2552276F-8CB9-49E2-A53C-EA824606C3A1}">
      <text>
        <r>
          <rPr>
            <b/>
            <sz val="9"/>
            <color indexed="81"/>
            <rFont val="Tahoma"/>
            <family val="2"/>
          </rPr>
          <t>Rob Squire:</t>
        </r>
        <r>
          <rPr>
            <sz val="9"/>
            <color indexed="81"/>
            <rFont val="Tahoma"/>
            <family val="2"/>
          </rPr>
          <t xml:space="preserve">
Sale of VZ
Date of Sale 9/26/22
Prior to the sale 
# of shares in account 450
Cost basis per share 51.455
This action 
Shares sold 450
Price per share 38.9734
Total received $17,539.87
Cost basis of shares sold $23,154.75
Profit (loss) ($5,614.88)
After the sale 
Total # of shares remaining 0
Cost basis per share remains at 0
</t>
        </r>
      </text>
    </comment>
    <comment ref="KV92" authorId="0" shapeId="0" xr:uid="{1706B9FD-476D-4E93-9E32-AFAB25AD1F13}">
      <text>
        <r>
          <rPr>
            <b/>
            <sz val="9"/>
            <color indexed="81"/>
            <rFont val="Tahoma"/>
            <family val="2"/>
          </rPr>
          <t>Rob Squire:</t>
        </r>
        <r>
          <rPr>
            <sz val="9"/>
            <color indexed="81"/>
            <rFont val="Tahoma"/>
            <family val="2"/>
          </rPr>
          <t xml:space="preserve">
Purchase of ZM
Date of Purchase 7/15/22
Prior to the sale 
# of shares in account 0
Cost basis per share 0
This action 
Shares purchased 250
Price per share 74.6328
Total paid $18,658.20
After the purchase 
New total # of shares in account 250
Cost basis per share  74.6328
</t>
        </r>
      </text>
    </comment>
    <comment ref="LJ92" authorId="0" shapeId="0" xr:uid="{9FE7E4CD-E324-4B91-B212-1454CE5658EC}">
      <text>
        <r>
          <rPr>
            <b/>
            <sz val="9"/>
            <color indexed="81"/>
            <rFont val="Tahoma"/>
            <family val="2"/>
          </rPr>
          <t>Rob Squire:</t>
        </r>
        <r>
          <rPr>
            <sz val="9"/>
            <color indexed="81"/>
            <rFont val="Tahoma"/>
            <family val="2"/>
          </rPr>
          <t xml:space="preserve">
Purchase of JPHY
Date of Purchase 9/8/22
Prior to the sale 
# of shares in account 0
Cost basis per share 0
This action 
Shares purchased 50
Price per share 44.755
Total paid $2,237.75
After the purchase 
New total # of shares in account 50
Cost basis per share  32.25
</t>
        </r>
      </text>
    </comment>
    <comment ref="AL93" authorId="0" shapeId="0" xr:uid="{04F6296E-16BB-451A-BA10-E2BDE74F6AA2}">
      <text>
        <r>
          <rPr>
            <b/>
            <sz val="9"/>
            <color indexed="81"/>
            <rFont val="Tahoma"/>
            <family val="2"/>
          </rPr>
          <t>Rob Squire:</t>
        </r>
        <r>
          <rPr>
            <sz val="9"/>
            <color indexed="81"/>
            <rFont val="Tahoma"/>
            <family val="2"/>
          </rPr>
          <t xml:space="preserve">
Sale of AZO
Date of Sale 10/27/22
Prior to the sale 
# of shares in account 11
Cost basis per share 1164.1974
This action 
Shares sold 2
Price per share 2545.51
Total received $5,090.90
Cost basis of shares sold $2,328.39
Profit (loss) $2,762.51 
After the sale 
Total # of shares remaining 9
Cost basis per share remains at 1164.1974
</t>
        </r>
      </text>
    </comment>
    <comment ref="CF93" authorId="0" shapeId="0" xr:uid="{3131A9AA-FD52-494A-B642-0CFBB45696CA}">
      <text>
        <r>
          <rPr>
            <b/>
            <sz val="9"/>
            <color indexed="81"/>
            <rFont val="Tahoma"/>
            <family val="2"/>
          </rPr>
          <t>Rob Squire:</t>
        </r>
        <r>
          <rPr>
            <sz val="9"/>
            <color indexed="81"/>
            <rFont val="Tahoma"/>
            <family val="2"/>
          </rPr>
          <t xml:space="preserve">
Purchase of UAL
Date of Purchase 10/31/22
Prior to the sale 
# of shares in account 968
Cost basis per share 39.76
This action 
Shares purchased 900
Price per share 43.7396
Total paid $39,365.64
After the purchase 
New total # of shares in account 1,868
Cost basis per share  41.68
</t>
        </r>
      </text>
    </comment>
    <comment ref="DE93" authorId="0" shapeId="0" xr:uid="{47CED522-1888-4E8F-8EFA-C188A29D6066}">
      <text>
        <r>
          <rPr>
            <b/>
            <sz val="9"/>
            <color indexed="81"/>
            <rFont val="Tahoma"/>
            <family val="2"/>
          </rPr>
          <t>Rob Squire:</t>
        </r>
        <r>
          <rPr>
            <sz val="9"/>
            <color indexed="81"/>
            <rFont val="Tahoma"/>
            <family val="2"/>
          </rPr>
          <t xml:space="preserve">
Purchase of BIV
Date of Purchase 10/12/22
Prior to the sale 
# of shares in account 0
Cost basis per share N/A
This action 
Shares purchased 200
Price per share 72.9444
Total paid $14,588.88
After the purchase 
New total # of shares in account 200
Cost basis per share  72.9444
</t>
        </r>
      </text>
    </comment>
    <comment ref="DF93" authorId="0" shapeId="0" xr:uid="{8E7D2BC1-8224-4605-8341-D1756A3DB972}">
      <text>
        <r>
          <rPr>
            <b/>
            <sz val="9"/>
            <color indexed="81"/>
            <rFont val="Tahoma"/>
            <family val="2"/>
          </rPr>
          <t>Rob Squire:</t>
        </r>
        <r>
          <rPr>
            <sz val="9"/>
            <color indexed="81"/>
            <rFont val="Tahoma"/>
            <family val="2"/>
          </rPr>
          <t xml:space="preserve">
Purchase of BND
Date of Purchase 10/3/22
Prior to the sale 
# of shares in account 130
Cost basis per share 83.84
This action 
Shares purchased 45
Price per share 71.776
Total paid $3,229.92
After the purchase 
New total # of shares in account 175
Cost basis per share  80.74
</t>
        </r>
      </text>
    </comment>
    <comment ref="DS93" authorId="0" shapeId="0" xr:uid="{0D4FD5EA-BE6A-4A8D-B57F-41404351FED3}">
      <text>
        <r>
          <rPr>
            <b/>
            <sz val="9"/>
            <color indexed="81"/>
            <rFont val="Tahoma"/>
            <family val="2"/>
          </rPr>
          <t>Rob Squire:</t>
        </r>
        <r>
          <rPr>
            <sz val="9"/>
            <color indexed="81"/>
            <rFont val="Tahoma"/>
            <family val="2"/>
          </rPr>
          <t xml:space="preserve">
Purchase of VCLT
Date of Purchase 10/3/22
Prior to the sale 
# of shares in account 150
Cost basis per share 51.455
This action 
Shares purchased 50
Price per share 74.5583
Total paid $3,727.92
After the purchase 
New total # of shares in account 200
Cost basis per share  89.06
</t>
        </r>
      </text>
    </comment>
    <comment ref="HN93" authorId="0" shapeId="0" xr:uid="{0FD47156-3157-4AF3-AC41-D723105683E1}">
      <text>
        <r>
          <rPr>
            <b/>
            <sz val="9"/>
            <color indexed="81"/>
            <rFont val="Tahoma"/>
            <family val="2"/>
          </rPr>
          <t>Rob Squire:</t>
        </r>
        <r>
          <rPr>
            <sz val="9"/>
            <color indexed="81"/>
            <rFont val="Tahoma"/>
            <family val="2"/>
          </rPr>
          <t xml:space="preserve">
Sale of AZO
Date of Sale 10/27/22
Prior to the sale 
# of shares in account 11
Cost basis per share 1164.1974
This action 
Shares sold 2
Price per share 2545.51
Total received $5,090.90
Cost basis of shares sold $2,328.39
Profit (loss) $2,762.51 
After the sale 
Total # of shares remaining 9
Cost basis per share remains at 1164.1974
</t>
        </r>
      </text>
    </comment>
    <comment ref="IA93" authorId="0" shapeId="0" xr:uid="{AA19FBCD-62AF-4697-B25C-4C9C85DF8108}">
      <text>
        <r>
          <rPr>
            <b/>
            <sz val="9"/>
            <color indexed="81"/>
            <rFont val="Tahoma"/>
            <family val="2"/>
          </rPr>
          <t>Rob Squire:</t>
        </r>
        <r>
          <rPr>
            <sz val="9"/>
            <color indexed="81"/>
            <rFont val="Tahoma"/>
            <family val="2"/>
          </rPr>
          <t xml:space="preserve">
Purchase of CTSH
Date of Purchase 10/27/22
Prior to the sale 
# of shares in account 225
Cost basis per share 74.7105
This action 
Shares purchased 75
Price per share 61.905
Total paid $4,642.88
After the purchase 
New total # of shares in account 300
Cost basis per share  71.51
</t>
        </r>
      </text>
    </comment>
    <comment ref="LL93" authorId="0" shapeId="0" xr:uid="{3A277855-B248-4C1A-8EE9-D645331FA136}">
      <text>
        <r>
          <rPr>
            <b/>
            <sz val="9"/>
            <color indexed="81"/>
            <rFont val="Tahoma"/>
            <family val="2"/>
          </rPr>
          <t>Rob Squire:</t>
        </r>
        <r>
          <rPr>
            <sz val="9"/>
            <color indexed="81"/>
            <rFont val="Tahoma"/>
            <family val="2"/>
          </rPr>
          <t xml:space="preserve">
Purchase of BIV
Date of Purchase 10/12/22
Prior to the sale 
# of shares in account 0
Cost basis per share N/A
This action 
Shares purchased 200
Price per share 72.9444
Total paid $14,588.88
After the purchase 
New total # of shares in account 200
Cost basis per share  72.9444
</t>
        </r>
      </text>
    </comment>
    <comment ref="LM93" authorId="0" shapeId="0" xr:uid="{8D76FDF2-A8F5-42F4-A240-93168EC3C3FB}">
      <text>
        <r>
          <rPr>
            <b/>
            <sz val="9"/>
            <color indexed="81"/>
            <rFont val="Tahoma"/>
            <family val="2"/>
          </rPr>
          <t>Rob Squire:</t>
        </r>
        <r>
          <rPr>
            <sz val="9"/>
            <color indexed="81"/>
            <rFont val="Tahoma"/>
            <family val="2"/>
          </rPr>
          <t xml:space="preserve">
Purchase of BND
Date of Purchase 10/3/22
Prior to the sale 
# of shares in account 130
Cost basis per share 83.84
This action 
Shares purchased 45
Price per share 71.776
Total paid $3,229.92
After the purchase 
New total # of shares in account 175
Cost basis per share  80.74
</t>
        </r>
      </text>
    </comment>
    <comment ref="ND93" authorId="0" shapeId="0" xr:uid="{4687AFFB-C66B-4ADE-8545-AA1EB8EB4015}">
      <text>
        <r>
          <rPr>
            <b/>
            <sz val="9"/>
            <color indexed="81"/>
            <rFont val="Tahoma"/>
            <family val="2"/>
          </rPr>
          <t>Rob Squire:</t>
        </r>
        <r>
          <rPr>
            <sz val="9"/>
            <color indexed="81"/>
            <rFont val="Tahoma"/>
            <family val="2"/>
          </rPr>
          <t xml:space="preserve">
Purchase of VCLT
Date of Purchase 10/3/22
Prior to the sale 
# of shares in account 150
Cost basis per share 51.455
This action 
Shares purchased 50
Price per share 74.5583
Total paid $3,727.92
After the purchase 
New total # of shares in account 200
Cost basis per share  89.06
</t>
        </r>
      </text>
    </comment>
    <comment ref="NI93" authorId="0" shapeId="0" xr:uid="{385B4C3F-2303-4E78-B169-827D6290C6EC}">
      <text>
        <r>
          <rPr>
            <b/>
            <sz val="9"/>
            <color indexed="81"/>
            <rFont val="Tahoma"/>
            <family val="2"/>
          </rPr>
          <t>Rob Squire:</t>
        </r>
        <r>
          <rPr>
            <sz val="9"/>
            <color indexed="81"/>
            <rFont val="Tahoma"/>
            <family val="2"/>
          </rPr>
          <t xml:space="preserve">
Sale of VUSB
Date of Sale 10/12/22
Prior to the sale 
# of shares in account 300
Cost basis per share 50.115
This action 
Shares sold 300
Price per share 48.8644
Total received $14,658.98
Cost basis of shares sold $15,034.50
Profit (loss) ($375.52)
After the sale 
Total # of shares remaining 0
Cost basis per share remains at 0
</t>
        </r>
      </text>
    </comment>
    <comment ref="NK93" authorId="0" shapeId="0" xr:uid="{EEE13622-9388-46C6-A0C7-8D6F1022DA3C}">
      <text>
        <r>
          <rPr>
            <b/>
            <sz val="9"/>
            <color indexed="81"/>
            <rFont val="Tahoma"/>
            <family val="2"/>
          </rPr>
          <t>Rob Squire:</t>
        </r>
        <r>
          <rPr>
            <sz val="9"/>
            <color indexed="81"/>
            <rFont val="Tahoma"/>
            <family val="2"/>
          </rPr>
          <t xml:space="preserve">
Sale of VZ
Date of Sale 10/3/22
Prior to the sale 
# of shares in account 180
Cost basis per share 56.21
This action 
Shares sold 180
Price per share 39.3329
Total received $7,079.75
Cost basis of shares sold $10,117.80
Profit (loss) ($3,038.05)
After the sale 
Total # of shares remaining 0
Cost basis per share remains at 0
</t>
        </r>
      </text>
    </comment>
    <comment ref="EF94" authorId="0" shapeId="0" xr:uid="{0459A695-D8C7-463C-AD02-0DA122C56D76}">
      <text>
        <r>
          <rPr>
            <b/>
            <sz val="9"/>
            <color indexed="81"/>
            <rFont val="Tahoma"/>
            <family val="2"/>
          </rPr>
          <t>Rob Squire:</t>
        </r>
        <r>
          <rPr>
            <sz val="9"/>
            <color indexed="81"/>
            <rFont val="Tahoma"/>
            <family val="2"/>
          </rPr>
          <t xml:space="preserve">
Sale of IGSB
Date of Sale 11/11/22
Prior to the sale 
# of shares in account 260
Cost basis per share 54.865
This action 
Shares sold 20
Price per share 49.6044
Total received $992.06
Cost basis of shares sold $1,097.30
Profit (loss) ($105.24)
After the sale 
Total # of shares remaining 240
Cost basis per share remains at 54.865
</t>
        </r>
      </text>
    </comment>
    <comment ref="GM94" authorId="0" shapeId="0" xr:uid="{51155DA9-7BD2-482D-9B98-BB50BE0E9630}">
      <text>
        <r>
          <rPr>
            <b/>
            <sz val="9"/>
            <color indexed="81"/>
            <rFont val="Tahoma"/>
            <family val="2"/>
          </rPr>
          <t>Rob Squire:</t>
        </r>
        <r>
          <rPr>
            <sz val="9"/>
            <color indexed="81"/>
            <rFont val="Tahoma"/>
            <family val="2"/>
          </rPr>
          <t xml:space="preserve">
Transfer in from Rob's IRA Managed - Equities to Joint Managed - Equities SBUX
Date of Purchase 11/2/22
Prior to the sale 
# of shares in account 0
Cost basis per share N/A
This action 
Shares xferred 275
Cost basis of shares xfered $23,259.50
After the transfer 
New total # of shares in account 275
Cost basis per share  84.58
</t>
        </r>
      </text>
    </comment>
    <comment ref="JT94" authorId="0" shapeId="0" xr:uid="{01873217-F4C9-4D27-B907-37302B128E79}">
      <text>
        <r>
          <rPr>
            <b/>
            <sz val="9"/>
            <color indexed="81"/>
            <rFont val="Tahoma"/>
            <family val="2"/>
          </rPr>
          <t>Rob Squire:</t>
        </r>
        <r>
          <rPr>
            <sz val="9"/>
            <color indexed="81"/>
            <rFont val="Tahoma"/>
            <family val="2"/>
          </rPr>
          <t xml:space="preserve">
Transfer out of Rob's IRA Managed - Equities to Joint Managed - Equities SBUX
Date of Sale 11/2/22
Prior to the sale 
# of shares in account 275
Cost basis per share 96.91
This action 
Shares xferred 275
Cost basis of shares xfered $23,259.50
After the transfer 
New total # of shares in account 0
</t>
        </r>
      </text>
    </comment>
    <comment ref="OB94" authorId="0" shapeId="0" xr:uid="{27434901-FD94-44B0-964D-F3E74F2D8C37}">
      <text>
        <r>
          <rPr>
            <b/>
            <sz val="9"/>
            <color indexed="81"/>
            <rFont val="Tahoma"/>
            <family val="2"/>
          </rPr>
          <t>Rob Squire:</t>
        </r>
        <r>
          <rPr>
            <sz val="9"/>
            <color indexed="81"/>
            <rFont val="Tahoma"/>
            <family val="2"/>
          </rPr>
          <t xml:space="preserve">
Sale of IGSB
Date of Sale 11/11/22
Prior to the sale 
# of shares in account 260
Cost basis per share 54.865
This action 
Shares sold 20
Price per share 49.6044
Total received $992.06
Cost basis of shares sold $1,097.30
Profit (loss) ($105.24)
After the sale 
Total # of shares remaining 240
Cost basis per share remains at 54.865
</t>
        </r>
      </text>
    </comment>
    <comment ref="OP94" authorId="0" shapeId="0" xr:uid="{1D5C65C9-ADB9-4CB3-B46C-7AEB5628F28A}">
      <text>
        <r>
          <rPr>
            <b/>
            <sz val="9"/>
            <color indexed="81"/>
            <rFont val="Tahoma"/>
            <family val="2"/>
          </rPr>
          <t>Rob Squire:</t>
        </r>
        <r>
          <rPr>
            <sz val="9"/>
            <color indexed="81"/>
            <rFont val="Tahoma"/>
            <family val="2"/>
          </rPr>
          <t xml:space="preserve">
Sale of THOPX
Date of Sale 11/2/22
Prior to the sale 
# of shares in account 2,881
Cost basis per share 10.41
This action 
Shares sold 811
Price per share 9.86
Total received $8,000.00
Cost basis of shares sold $8,446.25
Profit (loss) ($446.25)
After the sale 
Total # of shares remaining 2,069
Cost basis per share remains at 10.41
</t>
        </r>
      </text>
    </comment>
    <comment ref="I95" authorId="0" shapeId="0" xr:uid="{3CAB5F0A-D7A9-429E-B886-3BCD26912314}">
      <text>
        <r>
          <rPr>
            <b/>
            <sz val="9"/>
            <color indexed="81"/>
            <rFont val="Tahoma"/>
            <family val="2"/>
          </rPr>
          <t>Rob Squire:</t>
        </r>
        <r>
          <rPr>
            <sz val="9"/>
            <color indexed="81"/>
            <rFont val="Tahoma"/>
            <family val="2"/>
          </rPr>
          <t xml:space="preserve">
Purchase of IEFA
Date of Purchase 12/12/22
Prior to the sale 
# of shares in account 325
Cost basis per share 64.67
This action 
Shares purchased 200
Price per share 62.6893
Total paid $12,537.86
After the purchase 
New total # of shares in account 525
Cost basis per share  63.92
</t>
        </r>
      </text>
    </comment>
    <comment ref="S95" authorId="0" shapeId="0" xr:uid="{C8B88E9C-5463-4F4B-992E-0D80AAD8BED5}">
      <text>
        <r>
          <rPr>
            <b/>
            <sz val="9"/>
            <color indexed="81"/>
            <rFont val="Tahoma"/>
            <family val="2"/>
          </rPr>
          <t>Rob Squire:</t>
        </r>
        <r>
          <rPr>
            <sz val="9"/>
            <color indexed="81"/>
            <rFont val="Tahoma"/>
            <family val="2"/>
          </rPr>
          <t xml:space="preserve">
Purchase of VEA
Date of Purchase 12/19/22
Prior to the sale 
# of shares in account 0
Cost basis per share N/A
This action 
Shares purchased 250
Price per share 41.605
Total paid $10,401.25
After the purchase 
New total # of shares in account 250
Cost basis per share  41.605
</t>
        </r>
      </text>
    </comment>
    <comment ref="T95" authorId="0" shapeId="0" xr:uid="{DDE38A27-1F01-4B7E-9F4E-DAF06B31A997}">
      <text>
        <r>
          <rPr>
            <b/>
            <sz val="9"/>
            <color indexed="81"/>
            <rFont val="Tahoma"/>
            <family val="2"/>
          </rPr>
          <t>Rob Squire:</t>
        </r>
        <r>
          <rPr>
            <sz val="9"/>
            <color indexed="81"/>
            <rFont val="Tahoma"/>
            <family val="2"/>
          </rPr>
          <t xml:space="preserve">
Purchase of VSS
Date of Purchase 12/12/22
Prior to the sale  
# of shares in account 0
Cost basis per share N/A
This action  
Shares purchased 70
Price per share 105.6223
Total paid $7,393.56
After the purchase  
New total # of shares in account 70
Cost basis per share  105.6223
</t>
        </r>
      </text>
    </comment>
    <comment ref="BX95" authorId="0" shapeId="0" xr:uid="{1BBB046A-DA94-4B68-AA53-C6E9CF0EC1D8}">
      <text>
        <r>
          <rPr>
            <b/>
            <sz val="9"/>
            <color indexed="81"/>
            <rFont val="Tahoma"/>
            <family val="2"/>
          </rPr>
          <t>Rob Squire:</t>
        </r>
        <r>
          <rPr>
            <sz val="9"/>
            <color indexed="81"/>
            <rFont val="Tahoma"/>
            <family val="2"/>
          </rPr>
          <t xml:space="preserve">
Purchase of PEG
Date of Purchase 12/12/22
Prior to the sale 
# of shares in account 70
Cost basis per share 62.85
This action 
Shares purchased 40
Price per share 60.2556
Total paid $2,410.22
After the purchase 
New total # of shares in account 110
Cost basis per share  61.91
</t>
        </r>
      </text>
    </comment>
    <comment ref="BZ95" authorId="0" shapeId="0" xr:uid="{85C843C7-BF32-4E97-8288-288F459DFCE2}">
      <text>
        <r>
          <rPr>
            <b/>
            <sz val="9"/>
            <color indexed="81"/>
            <rFont val="Tahoma"/>
            <family val="2"/>
          </rPr>
          <t>Rob Squire:</t>
        </r>
        <r>
          <rPr>
            <sz val="9"/>
            <color indexed="81"/>
            <rFont val="Tahoma"/>
            <family val="2"/>
          </rPr>
          <t xml:space="preserve">
Purchase of PPL
Date of Purchase 12/12/22
Prior to the sale  
# of shares in account 250
Cost basis per share 28.5
This action  
Shares purchased 25
Price per share 29.1402
Total paid $728.51
After the purchase  
New total # of shares in account 275
Cost basis per share  28.56
</t>
        </r>
      </text>
    </comment>
    <comment ref="FT95" authorId="0" shapeId="0" xr:uid="{8C96FEA9-043D-4FD6-967F-FAA69F4E9787}">
      <text>
        <r>
          <rPr>
            <b/>
            <sz val="9"/>
            <color indexed="81"/>
            <rFont val="Tahoma"/>
            <family val="2"/>
          </rPr>
          <t>Rob Squire:</t>
        </r>
        <r>
          <rPr>
            <sz val="9"/>
            <color indexed="81"/>
            <rFont val="Tahoma"/>
            <family val="2"/>
          </rPr>
          <t xml:space="preserve">
Purchase of IEFA
Date of Purchase 12/12/22
Prior to the sale 
# of shares in account 325
Cost basis per share 64.67
This action 
Shares purchased 200
Price per share 62.6893
Total paid $12,537.86
After the purchase 
New total # of shares in account 525
Cost basis per share  63.92
</t>
        </r>
      </text>
    </comment>
    <comment ref="FV95" authorId="0" shapeId="0" xr:uid="{D4F58820-6B7B-4595-8190-1F3739A4FB56}">
      <text>
        <r>
          <rPr>
            <b/>
            <sz val="9"/>
            <color indexed="81"/>
            <rFont val="Tahoma"/>
            <family val="2"/>
          </rPr>
          <t>Rob Squire:</t>
        </r>
        <r>
          <rPr>
            <sz val="9"/>
            <color indexed="81"/>
            <rFont val="Tahoma"/>
            <family val="2"/>
          </rPr>
          <t xml:space="preserve">
Sale of IJH
Date of Sale 12/19/22
Prior to the sale 
# of shares in account 75
Cost basis per share 209.69
This action 
Shares sold 75
Price per share 238.7499
Total received $17,905.82
Cost basis of shares sold $15,726.75
Profit (loss) $2,179.07 
After the sale 
Total # of shares remaining 0
Cost basis per share remains at 0
</t>
        </r>
      </text>
    </comment>
    <comment ref="FX95" authorId="0" shapeId="0" xr:uid="{A0080B91-AC9F-4290-A559-F3E26FA77613}">
      <text>
        <r>
          <rPr>
            <b/>
            <sz val="9"/>
            <color indexed="81"/>
            <rFont val="Tahoma"/>
            <family val="2"/>
          </rPr>
          <t>Rob Squire:</t>
        </r>
        <r>
          <rPr>
            <sz val="9"/>
            <color indexed="81"/>
            <rFont val="Tahoma"/>
            <family val="2"/>
          </rPr>
          <t xml:space="preserve">
Sale of JPIN
Date of Sale 12/19/22
Prior to the sale 
# of shares in account 125
Cost basis per share 54.8018
This action 
Shares sold 125
Price per share 48.95
Total received $6,118.60
Cost basis of shares sold $6,850.23
Profit (loss) ($731.63)
After the sale 
Total # of shares remaining 0
Cost basis per share remains at 0
</t>
        </r>
      </text>
    </comment>
    <comment ref="GI95" authorId="0" shapeId="0" xr:uid="{5CB482EE-FC47-47AA-BF92-35684FEF17F2}">
      <text>
        <r>
          <rPr>
            <b/>
            <sz val="9"/>
            <color indexed="81"/>
            <rFont val="Tahoma"/>
            <family val="2"/>
          </rPr>
          <t>Rob Squire:</t>
        </r>
        <r>
          <rPr>
            <sz val="9"/>
            <color indexed="81"/>
            <rFont val="Tahoma"/>
            <family val="2"/>
          </rPr>
          <t xml:space="preserve">
Purchase of PG
Date of Purchase 12/19/22
Prior to the sale 
# of shares in account 0
Cost basis per share N/A
This action 
Shares purchased 100
Price per share 149.8493
Total paid $14,984.93
After the purchase 
New total # of shares in account 100
Cost basis per share  149.8493
</t>
        </r>
      </text>
    </comment>
    <comment ref="GJ95" authorId="0" shapeId="0" xr:uid="{64A7C71A-60B2-4DC8-8F30-A070F400448D}">
      <text>
        <r>
          <rPr>
            <b/>
            <sz val="9"/>
            <color indexed="81"/>
            <rFont val="Tahoma"/>
            <family val="2"/>
          </rPr>
          <t>Rob Squire:</t>
        </r>
        <r>
          <rPr>
            <sz val="9"/>
            <color indexed="81"/>
            <rFont val="Tahoma"/>
            <family val="2"/>
          </rPr>
          <t xml:space="preserve">
Sale of PM
Date of Sale 12/12/22
Prior to the sale 
# of shares in account 225
Cost basis per share 72.285
This action 
Shares sold 225
Price per share 120.4051
Total received $23,040.62
Cost basis of shares sold $16,264.13
Profit (loss) $6,776.50 
After the sale 
Total # of shares remaining 0
Cost basis per share remains at 0
</t>
        </r>
      </text>
    </comment>
    <comment ref="GT95" authorId="0" shapeId="0" xr:uid="{05252910-0C62-46CD-9EFB-3719E14EA71C}">
      <text>
        <r>
          <rPr>
            <b/>
            <sz val="9"/>
            <color indexed="81"/>
            <rFont val="Tahoma"/>
            <family val="2"/>
          </rPr>
          <t>Rob Squire:</t>
        </r>
        <r>
          <rPr>
            <sz val="9"/>
            <color indexed="81"/>
            <rFont val="Tahoma"/>
            <family val="2"/>
          </rPr>
          <t xml:space="preserve">
Purchase of VEA
Date of Purchase 12/19/22
Prior to the sale 
# of shares in account 0
Cost basis per share N/A
This action 
Shares purchased 250
Price per share 41.605
Total paid $10,401.25
After the purchase 
New total # of shares in account 250
Cost basis per share  41.605
</t>
        </r>
      </text>
    </comment>
    <comment ref="GV95" authorId="0" shapeId="0" xr:uid="{699C5103-9228-4C5B-8964-26B2C98480B0}">
      <text>
        <r>
          <rPr>
            <b/>
            <sz val="9"/>
            <color indexed="81"/>
            <rFont val="Tahoma"/>
            <family val="2"/>
          </rPr>
          <t>Rob Squire:</t>
        </r>
        <r>
          <rPr>
            <sz val="9"/>
            <color indexed="81"/>
            <rFont val="Tahoma"/>
            <family val="2"/>
          </rPr>
          <t xml:space="preserve">
Purchase of VSS
Date of Purchase 12/12/22
Prior to the sale  
# of shares in account 0
Cost basis per share N/A
This action  
Shares purchased 70
Price per share 105.6223
Total paid $7,393.56
After the purchase  
New total # of shares in account 70
Cost basis per share  105.6223
</t>
        </r>
      </text>
    </comment>
    <comment ref="GW95" authorId="0" shapeId="0" xr:uid="{3CE98798-2D56-4B3C-A314-4015FD8A415F}">
      <text>
        <r>
          <rPr>
            <b/>
            <sz val="9"/>
            <color indexed="81"/>
            <rFont val="Tahoma"/>
            <family val="2"/>
          </rPr>
          <t>Rob Squire:</t>
        </r>
        <r>
          <rPr>
            <sz val="9"/>
            <color indexed="81"/>
            <rFont val="Tahoma"/>
            <family val="2"/>
          </rPr>
          <t xml:space="preserve">
Purchase of VWO
Date of Purchase 12/12/22
Prior to the sale  
# of shares in account 350
Cost basis per share 30.485
This action  
Shares purchased 100
Price per share 39.98
Total paid $3,998.00
After the purchase  
New total # of shares in account 450
Cost basis per share  41.05
</t>
        </r>
      </text>
    </comment>
    <comment ref="HV95" authorId="0" shapeId="0" xr:uid="{BDE2F969-D2A1-4D84-B7C1-B6F8166FE14A}">
      <text>
        <r>
          <rPr>
            <b/>
            <sz val="9"/>
            <color indexed="81"/>
            <rFont val="Tahoma"/>
            <family val="2"/>
          </rPr>
          <t>Rob Squire:</t>
        </r>
        <r>
          <rPr>
            <sz val="9"/>
            <color indexed="81"/>
            <rFont val="Tahoma"/>
            <family val="2"/>
          </rPr>
          <t xml:space="preserve">
Purchase of COST
Date of Purchase 12/12/22
Prior to the sale 
# of shares in account 0
Cost basis per share N/A
This action 
Shares purchased 30
Price per share 482.8386
Total paid $14,486.16
After the purchase 
New total # of shares in account 30
Cost basis per share  482.8386
</t>
        </r>
      </text>
    </comment>
    <comment ref="IH95" authorId="0" shapeId="0" xr:uid="{1FDF6FFB-1496-4FCF-954A-6B4DA546CBD2}">
      <text>
        <r>
          <rPr>
            <b/>
            <sz val="9"/>
            <color indexed="81"/>
            <rFont val="Tahoma"/>
            <family val="2"/>
          </rPr>
          <t>Rob Squire:</t>
        </r>
        <r>
          <rPr>
            <sz val="9"/>
            <color indexed="81"/>
            <rFont val="Tahoma"/>
            <family val="2"/>
          </rPr>
          <t xml:space="preserve">
Sale of META
Date of Sale 12/12/22
Prior to the sale  
# of shares in account 125
Cost basis per share 196.72
This action  
Shares sold 125
Price per share 114.1008
Total received $14,262.27
Cost basis of shares sold $24,590.00
Profit (loss) ($10,327.73)
After the sale  
Total # of shares remaining 0
Cost basis per share remains at 0
</t>
        </r>
      </text>
    </comment>
    <comment ref="LJ95" authorId="0" shapeId="0" xr:uid="{9EB62F93-FF3E-4D1A-99EC-FD83E00B276F}">
      <text>
        <r>
          <rPr>
            <b/>
            <sz val="9"/>
            <color indexed="81"/>
            <rFont val="Tahoma"/>
            <family val="2"/>
          </rPr>
          <t>Rob Squire:</t>
        </r>
        <r>
          <rPr>
            <sz val="9"/>
            <color indexed="81"/>
            <rFont val="Tahoma"/>
            <family val="2"/>
          </rPr>
          <t xml:space="preserve">
Purchase of JPHY
Date of Purchase 12/12/22
Prior to the sale 
# of shares in account 50
Cost basis per share 32.25
This action 
Shares purchased 50
Price per share 44.6986
Total paid $2,234.93
After the purchase 
New total # of shares in account 100
Cost basis per share  44.73
--------------------------------------------------
Purchase of JPHY
Date of Purchase 12/21/22
Prior to the sale 
# of shares in account 100
Cost basis per share 44.73
This action 
Shares purchased 50
Price per share 44.6009
Total paid $2,230.05
After the purchase 
New total # of shares in account 150
Cost basis per share  44.68
</t>
        </r>
      </text>
    </comment>
    <comment ref="ML95" authorId="0" shapeId="0" xr:uid="{22277EA5-E2E1-4CBA-97EF-C99973FB346F}">
      <text>
        <r>
          <rPr>
            <b/>
            <sz val="9"/>
            <color indexed="81"/>
            <rFont val="Tahoma"/>
            <family val="2"/>
          </rPr>
          <t>Rob Squire:</t>
        </r>
        <r>
          <rPr>
            <sz val="9"/>
            <color indexed="81"/>
            <rFont val="Tahoma"/>
            <family val="2"/>
          </rPr>
          <t xml:space="preserve">
Purchase of NSRGY
Date of Purchase 12/12/22
Prior to the sale  
# of shares in account 55
Cost basis per share 123.15
This action  
Shares purchased 10
Price per share 116.8889
Total paid $1,168.89
After the purchase  
New total # of shares in account 65
Cost basis per share  122.19
</t>
        </r>
      </text>
    </comment>
    <comment ref="MM95" authorId="0" shapeId="0" xr:uid="{306082EA-9AD8-44B7-B6CF-B5B6232135AB}">
      <text>
        <r>
          <rPr>
            <b/>
            <sz val="9"/>
            <color indexed="81"/>
            <rFont val="Tahoma"/>
            <family val="2"/>
          </rPr>
          <t>Rob Squire:</t>
        </r>
        <r>
          <rPr>
            <sz val="9"/>
            <color indexed="81"/>
            <rFont val="Tahoma"/>
            <family val="2"/>
          </rPr>
          <t xml:space="preserve">
Purchase of PEG
Date of Purchase 12/12/22
Prior to the sale 
# of shares in account 70
Cost basis per share 62.85
This action 
Shares purchased 40
Price per share 60.2556
Total paid $2,410.22
After the purchase 
New total # of shares in account 110
Cost basis per share  61.91
</t>
        </r>
      </text>
    </comment>
    <comment ref="MO95" authorId="0" shapeId="0" xr:uid="{3DD68CC0-AE77-451D-9DF7-5CBCA8F571CF}">
      <text>
        <r>
          <rPr>
            <b/>
            <sz val="9"/>
            <color indexed="81"/>
            <rFont val="Tahoma"/>
            <family val="2"/>
          </rPr>
          <t>Rob Squire:</t>
        </r>
        <r>
          <rPr>
            <sz val="9"/>
            <color indexed="81"/>
            <rFont val="Tahoma"/>
            <family val="2"/>
          </rPr>
          <t xml:space="preserve">
Sale of PM
Date of Sale 12/12/22
Prior to the sale 
# of shares in account 70
Cost basis per share 96.17
This action 
Shares sold 70
Price per share 102.4051
Total received $7,168.19
Cost basis of shares sold $6,731.90
Profit (loss) $436.29 
After the sale 
Total # of shares remaining 0
Cost basis per share remains at 0
</t>
        </r>
      </text>
    </comment>
    <comment ref="MQ95" authorId="0" shapeId="0" xr:uid="{9E53B196-4BE5-4C5F-A99F-39BA9352F75D}">
      <text>
        <r>
          <rPr>
            <b/>
            <sz val="9"/>
            <color indexed="81"/>
            <rFont val="Tahoma"/>
            <family val="2"/>
          </rPr>
          <t>Rob Squire:</t>
        </r>
        <r>
          <rPr>
            <sz val="9"/>
            <color indexed="81"/>
            <rFont val="Tahoma"/>
            <family val="2"/>
          </rPr>
          <t xml:space="preserve">
Purchase of PPL
Date of Purchase 12/12/22
Prior to the sale  
# of shares in account 250
Cost basis per share 28.5
This action  
Shares purchased 25
Price per share 29.1402
Total paid $728.51
After the purchase  
New total # of shares in account 275
Cost basis per share  28.56
</t>
        </r>
      </text>
    </comment>
    <comment ref="IG96" authorId="0" shapeId="0" xr:uid="{4E9818A1-981A-448F-97A6-5781CF3F6249}">
      <text>
        <r>
          <rPr>
            <b/>
            <sz val="9"/>
            <color indexed="81"/>
            <rFont val="Tahoma"/>
            <family val="2"/>
          </rPr>
          <t>Rob Squire:</t>
        </r>
        <r>
          <rPr>
            <sz val="9"/>
            <color indexed="81"/>
            <rFont val="Tahoma"/>
            <family val="2"/>
          </rPr>
          <t xml:space="preserve">
Purchase of EOG
Date of Purchase 1/17/23
Prior to the sale 
# of shares in account 0
Cost basis per share N/A
This action 
Shares purchased 150
Price per share 129.5153
Total paid $19,427.30
After the purchase 
New total # of shares in account 150
Cost basis per share  129.5153
</t>
        </r>
      </text>
    </comment>
    <comment ref="KT96" authorId="0" shapeId="0" xr:uid="{A8AF32D0-D402-45CD-994E-EBF213ED5903}">
      <text>
        <r>
          <rPr>
            <b/>
            <sz val="9"/>
            <color indexed="81"/>
            <rFont val="Tahoma"/>
            <family val="2"/>
          </rPr>
          <t>Rob Squire:</t>
        </r>
        <r>
          <rPr>
            <sz val="9"/>
            <color indexed="81"/>
            <rFont val="Tahoma"/>
            <family val="2"/>
          </rPr>
          <t xml:space="preserve">
Sale of XOM
Date of Sale 1/17/23
Prior to the sale 
# of shares in account 200
Cost basis per share 46.005
This action 
Shares sold 200
Price per share 113.2128
Total received $22,642.56
Cost basis of shares sold $9,201.00
Profit (loss) $13,441.56 
After the sale 
Total # of shares remaining 0
Cost basis per share remains at 0
</t>
        </r>
      </text>
    </comment>
    <comment ref="LJ96" authorId="0" shapeId="0" xr:uid="{2EF9A53C-8FE9-423C-A272-9CDCC7313F4C}">
      <text>
        <r>
          <rPr>
            <b/>
            <sz val="9"/>
            <color indexed="81"/>
            <rFont val="Tahoma"/>
            <family val="2"/>
          </rPr>
          <t>Rob Squire:</t>
        </r>
        <r>
          <rPr>
            <sz val="9"/>
            <color indexed="81"/>
            <rFont val="Tahoma"/>
            <family val="2"/>
          </rPr>
          <t xml:space="preserve">
On ~ 2/1/2023, the ticker symbol changed from JPHY to BBHY</t>
        </r>
      </text>
    </comment>
    <comment ref="J97" authorId="0" shapeId="0" xr:uid="{02879AE5-2109-4B3C-8F98-58D8D67C2D53}">
      <text>
        <r>
          <rPr>
            <b/>
            <sz val="9"/>
            <color indexed="81"/>
            <rFont val="Tahoma"/>
            <family val="2"/>
          </rPr>
          <t>Rob Squire:</t>
        </r>
        <r>
          <rPr>
            <sz val="9"/>
            <color indexed="81"/>
            <rFont val="Tahoma"/>
            <family val="2"/>
          </rPr>
          <t xml:space="preserve">
Purchase of IEMG
Date of Purchase 3/20/23
Prior to the sale 
# of shares in account 0
Cost basis per share N/A
This action 
Shares purchased 400
Price per share 46.7154
Total paid $18,686.16
After the purchase 
New total # of shares in account 400
Cost basis per share  46.7154
</t>
        </r>
      </text>
    </comment>
    <comment ref="S97" authorId="0" shapeId="0" xr:uid="{186C1897-C768-43E2-91E8-7BB3862CB013}">
      <text>
        <r>
          <rPr>
            <b/>
            <sz val="9"/>
            <color indexed="81"/>
            <rFont val="Tahoma"/>
            <family val="2"/>
          </rPr>
          <t>Rob Squire:</t>
        </r>
        <r>
          <rPr>
            <sz val="9"/>
            <color indexed="81"/>
            <rFont val="Tahoma"/>
            <family val="2"/>
          </rPr>
          <t xml:space="preserve">
Purchase of VEA
Date of Purchase 3/20/23
Prior to the sale 
# of shares in account 250
Cost basis per share 41.605
This action 
Shares purchased 50
Price per share 43.2049
Total paid $2,160.25
After the purchase 
New total # of shares in account 300
Cost basis per share  41.87
</t>
        </r>
      </text>
    </comment>
    <comment ref="AV97" authorId="0" shapeId="0" xr:uid="{2CE78A8F-E225-42C0-B87C-A67018145DF7}">
      <text>
        <r>
          <rPr>
            <b/>
            <sz val="9"/>
            <color indexed="81"/>
            <rFont val="Tahoma"/>
            <family val="2"/>
          </rPr>
          <t>Rob Squire:</t>
        </r>
        <r>
          <rPr>
            <sz val="9"/>
            <color indexed="81"/>
            <rFont val="Tahoma"/>
            <family val="2"/>
          </rPr>
          <t xml:space="preserve">
Purchase of EFAV
Date of Purchase 3/13/23
Prior to the sale 
# of shares in account 0
Cost basis per share N/A
This action 
Shares purchased 40
Price per share 64.7713
Total paid $2,590.85
After the purchase 
New total # of shares in account 40
Cost basis per share  64.7713
</t>
        </r>
      </text>
    </comment>
    <comment ref="FU97" authorId="0" shapeId="0" xr:uid="{B083F5E8-9496-4C1E-B6EE-91357FBF0CC1}">
      <text>
        <r>
          <rPr>
            <b/>
            <sz val="9"/>
            <color indexed="81"/>
            <rFont val="Tahoma"/>
            <family val="2"/>
          </rPr>
          <t>Rob Squire:</t>
        </r>
        <r>
          <rPr>
            <sz val="9"/>
            <color indexed="81"/>
            <rFont val="Tahoma"/>
            <family val="2"/>
          </rPr>
          <t xml:space="preserve">
Purchase of IEMG
Date of Purchase 3/20/23
Prior to the sale 
# of shares in account 0
Cost basis per share N/A
This action 
Shares purchased 400
Price per share 46.7154
Total paid $18,686.16
After the purchase 
New total # of shares in account 400
Cost basis per share  46.7154
</t>
        </r>
      </text>
    </comment>
    <comment ref="GM97" authorId="0" shapeId="0" xr:uid="{AE6D1449-87EC-4966-8E84-2E863DC76D3C}">
      <text>
        <r>
          <rPr>
            <b/>
            <sz val="9"/>
            <color indexed="81"/>
            <rFont val="Tahoma"/>
            <family val="2"/>
          </rPr>
          <t>Rob Squire:</t>
        </r>
        <r>
          <rPr>
            <sz val="9"/>
            <color indexed="81"/>
            <rFont val="Tahoma"/>
            <family val="2"/>
          </rPr>
          <t xml:space="preserve">
Sale of SBUX
Date of Sale 3/20/23
Prior to the sale 
# of shares in account 275
Cost basis per share 84.58
This action 
Shares sold 25
Price per share 99.65
Total received $2,491.23
Cost basis of shares sold $2,114.50
Profit (loss) $376.73 
After the sale 
Total # of shares remaining 250
Cost basis per share remains at 84.58
</t>
        </r>
      </text>
    </comment>
    <comment ref="GT97" authorId="0" shapeId="0" xr:uid="{16EC0FEA-AA2B-4118-BABD-B32539E6A8E9}">
      <text>
        <r>
          <rPr>
            <b/>
            <sz val="9"/>
            <color indexed="81"/>
            <rFont val="Tahoma"/>
            <family val="2"/>
          </rPr>
          <t>Rob Squire:</t>
        </r>
        <r>
          <rPr>
            <sz val="9"/>
            <color indexed="81"/>
            <rFont val="Tahoma"/>
            <family val="2"/>
          </rPr>
          <t xml:space="preserve">
Purchase of VEA
Date of Purchase 3/20/23
Prior to the sale 
# of shares in account 250
Cost basis per share 41.605
This action 
Shares purchased 50
Price per share 43.2049
Total paid $2,160.25
After the purchase 
New total # of shares in account 300
Cost basis per share  41.87
</t>
        </r>
      </text>
    </comment>
    <comment ref="GW97" authorId="0" shapeId="0" xr:uid="{2F2524F8-3893-416C-88C8-679FCAEE6310}">
      <text>
        <r>
          <rPr>
            <b/>
            <sz val="9"/>
            <color indexed="81"/>
            <rFont val="Tahoma"/>
            <family val="2"/>
          </rPr>
          <t>Rob Squire:</t>
        </r>
        <r>
          <rPr>
            <sz val="9"/>
            <color indexed="81"/>
            <rFont val="Tahoma"/>
            <family val="2"/>
          </rPr>
          <t xml:space="preserve">
Sale of VWO
Date of Sale 3/20/23
Prior to the sale 
# of shares in account 450
Cost basis per share 41.05
This action 
Shares sold 450
Price per share 38.7736
Total received $17,447.98
Cost basis of shares sold $18,472.50
Profit (loss) ($1,024.52)
After the sale 
Total # of shares remaining 0
Cost basis per share remains at 0
</t>
        </r>
      </text>
    </comment>
    <comment ref="IA97" authorId="0" shapeId="0" xr:uid="{7310F0BB-75AB-4E0C-A099-3609DC26735C}">
      <text>
        <r>
          <rPr>
            <b/>
            <sz val="9"/>
            <color indexed="81"/>
            <rFont val="Tahoma"/>
            <family val="2"/>
          </rPr>
          <t>Rob Squire:</t>
        </r>
        <r>
          <rPr>
            <sz val="9"/>
            <color indexed="81"/>
            <rFont val="Tahoma"/>
            <family val="2"/>
          </rPr>
          <t xml:space="preserve">
Purchase of CTSH
Date of Purchase 3/23/23
Prior to the sale 
# of shares in account 300
Cost basis per share 71.51
This action 
Shares purchased 25
Price per share 57.9946
Total paid $1,449.87
After the purchase 
New total # of shares in account 325
Cost basis per share  70.47
</t>
        </r>
      </text>
    </comment>
    <comment ref="IC97" authorId="0" shapeId="0" xr:uid="{673957A6-D2AD-4200-B785-A31CE5960EBD}">
      <text>
        <r>
          <rPr>
            <b/>
            <sz val="9"/>
            <color indexed="81"/>
            <rFont val="Tahoma"/>
            <family val="2"/>
          </rPr>
          <t>Rob Squire:</t>
        </r>
        <r>
          <rPr>
            <sz val="9"/>
            <color indexed="81"/>
            <rFont val="Tahoma"/>
            <family val="2"/>
          </rPr>
          <t xml:space="preserve">
Purchase of DGX
Date of Purchase 3/23/23
Prior to the sale 
# of shares in account 135
Cost basis per share 121.7211
This action 
Shares purchased 10
Price per share 134.3099
Total paid $1,343.10
After the purchase 
New total # of shares in account 145
Cost basis per share  122.59
</t>
        </r>
      </text>
    </comment>
    <comment ref="IZ97" authorId="0" shapeId="0" xr:uid="{3F936E54-1FBE-4F5A-9E0B-ADB4E60D513D}">
      <text>
        <r>
          <rPr>
            <b/>
            <sz val="9"/>
            <color indexed="81"/>
            <rFont val="Tahoma"/>
            <family val="2"/>
          </rPr>
          <t>Rob Squire:</t>
        </r>
        <r>
          <rPr>
            <sz val="9"/>
            <color indexed="81"/>
            <rFont val="Tahoma"/>
            <family val="2"/>
          </rPr>
          <t xml:space="preserve">
Sale of KO
Date of Sale 3/23/23
Prior to the sale 
# of shares in account 375
Cost basis per share 49.3638
This action 
Shares sold 75
Price per share 59.8301
Total received $4,487.22
Cost basis of shares sold $3,702.29
Profit (loss) $784.94 
After the sale 
Total # of shares remaining 300
Cost basis per share remains at 49.3638
</t>
        </r>
      </text>
    </comment>
    <comment ref="JZ97" authorId="0" shapeId="0" xr:uid="{CBF170FC-246A-454C-AE4C-BD901748DE27}">
      <text>
        <r>
          <rPr>
            <b/>
            <sz val="9"/>
            <color indexed="81"/>
            <rFont val="Tahoma"/>
            <family val="2"/>
          </rPr>
          <t>Rob Squire:</t>
        </r>
        <r>
          <rPr>
            <sz val="9"/>
            <color indexed="81"/>
            <rFont val="Tahoma"/>
            <family val="2"/>
          </rPr>
          <t xml:space="preserve">
Sale of UPS
Date of Sale 3/22/23
Prior to the sale 
# of shares in account 90
Cost basis per share 164.58
This action 
Shares sold 90
Price per share 187.1223
Total received $16,840.87
Cost basis of shares sold $14,812.20
Profit (loss) $2,028.67 
After the sale 
Total # of shares remaining 0
Cost basis per share remains at 0
</t>
        </r>
      </text>
    </comment>
    <comment ref="KG97" authorId="0" shapeId="0" xr:uid="{E7D0DCB8-2641-4F2A-B884-4015C1C459B4}">
      <text>
        <r>
          <rPr>
            <b/>
            <sz val="9"/>
            <color indexed="81"/>
            <rFont val="Tahoma"/>
            <family val="2"/>
          </rPr>
          <t>Rob Squire:</t>
        </r>
        <r>
          <rPr>
            <sz val="9"/>
            <color indexed="81"/>
            <rFont val="Tahoma"/>
            <family val="2"/>
          </rPr>
          <t xml:space="preserve">
Purchase of VEA
Date of Purchase 3/22/23
Prior to the sale 
# of shares in account 0
Cost basis per share N/A
This action 
Shares purchased 350
Price per share 43.8799
Total paid $15,357.97
After the purchase 
New total # of shares in account 350
Cost basis per share  43.8799
</t>
        </r>
      </text>
    </comment>
    <comment ref="LR97" authorId="0" shapeId="0" xr:uid="{BBF62853-F8AD-4A2C-9B6F-1448D22870B5}">
      <text>
        <r>
          <rPr>
            <b/>
            <sz val="9"/>
            <color indexed="81"/>
            <rFont val="Tahoma"/>
            <family val="2"/>
          </rPr>
          <t>Rob Squire:</t>
        </r>
        <r>
          <rPr>
            <sz val="9"/>
            <color indexed="81"/>
            <rFont val="Tahoma"/>
            <family val="2"/>
          </rPr>
          <t xml:space="preserve">
Purchase of EFAV
Date of Purchase 3/13/23
Prior to the sale 
# of shares in account 0
Cost basis per share N/A
This action 
Shares purchased 40
Price per share 64.7713
Total paid $2,590.85
After the purchase 
New total # of shares in account 40
Cost basis per share  64.7713
</t>
        </r>
      </text>
    </comment>
    <comment ref="CU98" authorId="0" shapeId="0" xr:uid="{BA5F56D9-90D2-4B2B-8096-D1F16AE7F79F}">
      <text>
        <r>
          <rPr>
            <b/>
            <sz val="9"/>
            <color indexed="81"/>
            <rFont val="Tahoma"/>
            <family val="2"/>
          </rPr>
          <t>Rob Squire:</t>
        </r>
        <r>
          <rPr>
            <sz val="9"/>
            <color indexed="81"/>
            <rFont val="Tahoma"/>
            <family val="2"/>
          </rPr>
          <t xml:space="preserve">
Purchase of WFCPRL
Date of Purchase 4/20/23
Prior to the sale 
# of shares in account 5
Cost basis per share 1396.48
This action 
Shares purchased 5
Price per share 1170.89
Total paid $5,854.45
After the purchase 
New total # of shares in account 10
Cost basis per share  1283.69
</t>
        </r>
      </text>
    </comment>
    <comment ref="HQ98" authorId="0" shapeId="0" xr:uid="{11EED304-8D40-4107-B629-32944EE70AF8}">
      <text>
        <r>
          <rPr>
            <b/>
            <sz val="9"/>
            <color indexed="81"/>
            <rFont val="Tahoma"/>
            <family val="2"/>
          </rPr>
          <t>Rob Squire:</t>
        </r>
        <r>
          <rPr>
            <sz val="9"/>
            <color indexed="81"/>
            <rFont val="Tahoma"/>
            <family val="2"/>
          </rPr>
          <t xml:space="preserve">
Sale of BFB
Date of Sale 4/20/23
Prior to the sale 
# of shares in account 350
Cost basis per share 69.79
This action 
Shares sold 100
Price per share 64.0814
Total received $6,408.08
Cost basis of shares sold $6,979.00
Profit (loss) ($570.92)
After the sale 
Total # of shares remaining 250
Cost basis per share remains at 69.79
</t>
        </r>
      </text>
    </comment>
    <comment ref="KP98" authorId="0" shapeId="0" xr:uid="{08F61039-EDD1-4E3F-B619-96E224479559}">
      <text>
        <r>
          <rPr>
            <b/>
            <sz val="9"/>
            <color indexed="81"/>
            <rFont val="Tahoma"/>
            <family val="2"/>
          </rPr>
          <t>Rob Squire:</t>
        </r>
        <r>
          <rPr>
            <sz val="9"/>
            <color indexed="81"/>
            <rFont val="Tahoma"/>
            <family val="2"/>
          </rPr>
          <t xml:space="preserve">
Purchase of WFCPRL
Date of Purchase 4/20/23
Prior to the sale 
# of shares in account 5
Cost basis per share 1396.48
This action 
Shares purchased 5
Price per share 1170.89
Total paid $5,854.45
After the purchase 
New total # of shares in account 10
Cost basis per share  1283.69
</t>
        </r>
      </text>
    </comment>
    <comment ref="K100" authorId="0" shapeId="0" xr:uid="{C5D862B7-3665-4B66-9F8D-266A8E5D6D50}">
      <text>
        <r>
          <rPr>
            <b/>
            <sz val="9"/>
            <color indexed="81"/>
            <rFont val="Tahoma"/>
            <family val="2"/>
          </rPr>
          <t>Rob Squire:</t>
        </r>
        <r>
          <rPr>
            <sz val="9"/>
            <color indexed="81"/>
            <rFont val="Tahoma"/>
            <family val="2"/>
          </rPr>
          <t xml:space="preserve">
Sale of IJR
Date of Sale 7/3/23
Prior to the sale 
# of shares in account 180
Cost basis per share 80.68
This action 
Shares sold 30
Price per share 100.03
Total received $3,000.87
Cost basis of shares sold $2,420.40
Profit (loss) $580.47 
After the sale 
Total # of shares remaining 150
Cost basis per share remains at 80.68
</t>
        </r>
      </text>
    </comment>
    <comment ref="L100" authorId="0" shapeId="0" xr:uid="{A9B8290C-4B9C-4028-80F7-5B164128E639}">
      <text>
        <r>
          <rPr>
            <b/>
            <sz val="9"/>
            <color indexed="81"/>
            <rFont val="Tahoma"/>
            <family val="2"/>
          </rPr>
          <t>Rob Squire:</t>
        </r>
        <r>
          <rPr>
            <sz val="9"/>
            <color indexed="81"/>
            <rFont val="Tahoma"/>
            <family val="2"/>
          </rPr>
          <t xml:space="preserve">
Sale of JPM
Date of Sale 7/3/23
Prior to the sale 
# of shares in account 160
Cost basis per share 117.29
This action 
Shares sold 60
Price per share 147.1232
Total received $8,827.31
Cost basis of shares sold $7,037.40
Profit (loss) $1,789.91 
After the sale 
Total # of shares remaining 100
Cost basis per share remains at 117.29
</t>
        </r>
      </text>
    </comment>
    <comment ref="M100" authorId="0" shapeId="0" xr:uid="{F5F29A23-0BBA-47D0-AE32-FB8A0832B2C0}">
      <text>
        <r>
          <rPr>
            <b/>
            <sz val="9"/>
            <color indexed="81"/>
            <rFont val="Tahoma"/>
            <family val="2"/>
          </rPr>
          <t>Rob Squire:</t>
        </r>
        <r>
          <rPr>
            <sz val="9"/>
            <color indexed="81"/>
            <rFont val="Tahoma"/>
            <family val="2"/>
          </rPr>
          <t xml:space="preserve">
Sale of MSFT
Date of Sale 7/3/23
Prior to the sale  
# of shares in account 80
Cost basis per share 221.05
This action  
Shares sold 20
Price per share 337.34
Total received $6,746.74
Cost basis of shares sold $4,421.00
Profit (loss) $2,325.74 
After the sale  
Total # of shares remaining 60
Cost basis per share remains at 221.05
</t>
        </r>
      </text>
    </comment>
    <comment ref="DO100" authorId="0" shapeId="0" xr:uid="{D9C9BBF4-8104-4384-92B9-24B916E88293}">
      <text>
        <r>
          <rPr>
            <b/>
            <sz val="9"/>
            <color indexed="81"/>
            <rFont val="Tahoma"/>
            <family val="2"/>
          </rPr>
          <t>Rob Squire:</t>
        </r>
        <r>
          <rPr>
            <sz val="9"/>
            <color indexed="81"/>
            <rFont val="Tahoma"/>
            <family val="2"/>
          </rPr>
          <t xml:space="preserve">
Purchase of SCHQ
Date of Purchase 6/14/23
Prior to the sale  
# of shares in account 0
Cost basis per share N/A
This action  
Shares purchased 200
Price per share 36.0031
Total paid $7,200.62
After the purchase  
New total # of shares in account 200
Cost basis per share  36.0031
---------------------------------------------------------
Purchase of SCHQ
Date of Purchase 7/24/23
Prior to the sale 
# of shares in account 200
Cost basis per share 36.0031
This action 
Shares purchased 50
Price per share 35.7962
Total paid $1,789.81
After the purchase 
New total # of shares in account 250
Cost basis per share  35.96
</t>
        </r>
      </text>
    </comment>
    <comment ref="DS100" authorId="0" shapeId="0" xr:uid="{8B9DC7F7-E867-48D8-828E-1C187EADD137}">
      <text>
        <r>
          <rPr>
            <b/>
            <sz val="9"/>
            <color indexed="81"/>
            <rFont val="Tahoma"/>
            <family val="2"/>
          </rPr>
          <t>Rob Squire:</t>
        </r>
        <r>
          <rPr>
            <sz val="9"/>
            <color indexed="81"/>
            <rFont val="Tahoma"/>
            <family val="2"/>
          </rPr>
          <t xml:space="preserve">
Sale of VCLT
Date of Sale 6/14/23
Prior to the sale 
# of shares in account 200
Cost basis per share 89.06
This action 
Shares sold 75
Price per share 77.12
Total received $5,783.95
Cost basis of shares sold $6,679.50
Profit (loss) ($895.55)
After the sale 
Total # of shares remaining 125
Cost basis per share remains at 89.06
</t>
        </r>
      </text>
    </comment>
    <comment ref="FC100" authorId="0" shapeId="0" xr:uid="{AEC55E8C-4E26-4F72-B64D-03D406E0061B}">
      <text>
        <r>
          <rPr>
            <b/>
            <sz val="9"/>
            <color indexed="81"/>
            <rFont val="Tahoma"/>
            <family val="2"/>
          </rPr>
          <t>Rob Squire:</t>
        </r>
        <r>
          <rPr>
            <sz val="9"/>
            <color indexed="81"/>
            <rFont val="Tahoma"/>
            <family val="2"/>
          </rPr>
          <t xml:space="preserve">
Sale of AMZN
Date of Sale 7/3/23
Prior to the sale 
# of shares in account 100
Cost basis per share 158.5
This action 
Shares sold 100
Price per share 130.792
Total received $13,079.20
Cost basis of shares sold $15,850.00
Profit (loss) ($2,770.80)
After the sale 
Total # of shares remaining 0
Cost basis per share remains at 0
</t>
        </r>
      </text>
    </comment>
    <comment ref="FW100" authorId="0" shapeId="0" xr:uid="{439C52E7-84F5-44D9-B41E-D8EB20D2AD97}">
      <text>
        <r>
          <rPr>
            <b/>
            <sz val="9"/>
            <color indexed="81"/>
            <rFont val="Tahoma"/>
            <family val="2"/>
          </rPr>
          <t>Rob Squire:</t>
        </r>
        <r>
          <rPr>
            <sz val="9"/>
            <color indexed="81"/>
            <rFont val="Tahoma"/>
            <family val="2"/>
          </rPr>
          <t xml:space="preserve">
Sale of IJR
Date of Sale 7/3/23
Prior to the sale 
# of shares in account 180
Cost basis per share 80.68
This action 
Shares sold 30
Price per share 100.03
Total received $3,000.87
Cost basis of shares sold $2,420.40
Profit (loss) $580.47 
After the sale 
Total # of shares remaining 150
Cost basis per share remains at 80.68
</t>
        </r>
      </text>
    </comment>
    <comment ref="FY100" authorId="0" shapeId="0" xr:uid="{8EC670C6-0409-47D2-AE3C-04ED01FC1602}">
      <text>
        <r>
          <rPr>
            <b/>
            <sz val="9"/>
            <color indexed="81"/>
            <rFont val="Tahoma"/>
            <family val="2"/>
          </rPr>
          <t>Rob Squire:</t>
        </r>
        <r>
          <rPr>
            <sz val="9"/>
            <color indexed="81"/>
            <rFont val="Tahoma"/>
            <family val="2"/>
          </rPr>
          <t xml:space="preserve">
Sale of JPM
Date of Sale 7/3/23
Prior to the sale 
# of shares in account 160
Cost basis per share 117.29
This action 
Shares sold 60
Price per share 147.1232
Total received $8,827.31
Cost basis of shares sold $7,037.40
Profit (loss) $1,789.91 
After the sale 
Total # of shares remaining 100
Cost basis per share remains at 117.29
</t>
        </r>
      </text>
    </comment>
    <comment ref="GD100" authorId="0" shapeId="0" xr:uid="{9BEE76FA-2D0C-4F1E-AFF5-30598ECDC965}">
      <text>
        <r>
          <rPr>
            <b/>
            <sz val="9"/>
            <color indexed="81"/>
            <rFont val="Tahoma"/>
            <family val="2"/>
          </rPr>
          <t>Rob Squire:</t>
        </r>
        <r>
          <rPr>
            <sz val="9"/>
            <color indexed="81"/>
            <rFont val="Tahoma"/>
            <family val="2"/>
          </rPr>
          <t xml:space="preserve">
Sale of MSFT
Date of Sale 7/3/23
Prior to the sale  
# of shares in account 80
Cost basis per share 221.05
This action  
Shares sold 20
Price per share 337.34
Total received $6,746.74
Cost basis of shares sold $4,421.00
Profit (loss) $2,325.74 
After the sale  
Total # of shares remaining 60
Cost basis per share remains at 221.05
</t>
        </r>
      </text>
    </comment>
    <comment ref="GE100" authorId="0" shapeId="0" xr:uid="{37FF087F-E6CD-42DD-B0C9-60BB32DE72E7}">
      <text>
        <r>
          <rPr>
            <b/>
            <sz val="9"/>
            <color indexed="81"/>
            <rFont val="Tahoma"/>
            <family val="2"/>
          </rPr>
          <t>Rob Squire:</t>
        </r>
        <r>
          <rPr>
            <sz val="9"/>
            <color indexed="81"/>
            <rFont val="Tahoma"/>
            <family val="2"/>
          </rPr>
          <t xml:space="preserve">
Sale of NSRGY
Date of Sale 7/31/23
Prior to the sale 
# of shares in account 150
Cost basis per share 115.175
This action 
Shares sold 25
Price per share 122.795
Total received $3,069.85
Cost basis of shares sold $2,879.38
Profit (loss) $190.48 
After the sale 
Total # of shares remaining 125
Cost basis per share remains at 115.175
</t>
        </r>
      </text>
    </comment>
    <comment ref="GM100" authorId="0" shapeId="0" xr:uid="{26EFF477-A39F-43E5-B2F4-3FD51BBF58F9}">
      <text>
        <r>
          <rPr>
            <b/>
            <sz val="9"/>
            <color indexed="81"/>
            <rFont val="Tahoma"/>
            <family val="2"/>
          </rPr>
          <t>Rob Squire:</t>
        </r>
        <r>
          <rPr>
            <sz val="9"/>
            <color indexed="81"/>
            <rFont val="Tahoma"/>
            <family val="2"/>
          </rPr>
          <t xml:space="preserve">
Sale of SBX
Date of Sale 6/29/23
Prior to the sale 
# of shares in account 250
Cost basis per share 84.58
This action 
Shares sold 35
Price per share 98.412
Total received $3,444.39
Cost basis of shares sold $2,960.30
Profit (loss) $484.09 
After the sale 
Total # of shares remaining 215
Cost basis per share remains at 84.58
</t>
        </r>
      </text>
    </comment>
    <comment ref="GR100" authorId="0" shapeId="0" xr:uid="{6D713F76-8AD8-487D-BE3A-6D7DDE1EDE3E}">
      <text>
        <r>
          <rPr>
            <b/>
            <sz val="9"/>
            <color indexed="81"/>
            <rFont val="Tahoma"/>
            <family val="2"/>
          </rPr>
          <t>Rob Squire:</t>
        </r>
        <r>
          <rPr>
            <sz val="9"/>
            <color indexed="81"/>
            <rFont val="Tahoma"/>
            <family val="2"/>
          </rPr>
          <t xml:space="preserve">
Sale of UNP
Date of Sale 7/3/23
Prior to the sale  
# of shares in account 90
Cost basis per share 200.119
This action  
Shares sold 90
Price per share 206.3245
Total received $18,569.06
Cost basis of shares sold $18,010.71
Profit (loss) $558.35 
After the sale  
Total # of shares remaining 0
Cost basis per share remains at 0
</t>
        </r>
      </text>
    </comment>
    <comment ref="HV100" authorId="0" shapeId="0" xr:uid="{5696CF6D-8DA0-4C44-9BA6-BD46927FE766}">
      <text>
        <r>
          <rPr>
            <b/>
            <sz val="9"/>
            <color indexed="81"/>
            <rFont val="Tahoma"/>
            <family val="2"/>
          </rPr>
          <t>Rob Squire:</t>
        </r>
        <r>
          <rPr>
            <sz val="9"/>
            <color indexed="81"/>
            <rFont val="Tahoma"/>
            <family val="2"/>
          </rPr>
          <t xml:space="preserve">
Sale of COST
Date of Sale 7/3/23
Prior to the sale 
# of shares in account 30
Cost basis per share 482.8386
This action 
Shares sold 15
Price per share 540.4694
Total received $8,106.97
Cost basis of shares sold $7,242.58
Profit (loss) $864.39 
After the sale 
Total # of shares remaining 15
Cost basis per share remains at 482.8386
</t>
        </r>
      </text>
    </comment>
    <comment ref="HY100" authorId="0" shapeId="0" xr:uid="{8921A3CD-42BF-4F92-AB65-C60FFD5FAB73}">
      <text>
        <r>
          <rPr>
            <b/>
            <sz val="9"/>
            <color indexed="81"/>
            <rFont val="Tahoma"/>
            <family val="2"/>
          </rPr>
          <t>Rob Squire:</t>
        </r>
        <r>
          <rPr>
            <sz val="9"/>
            <color indexed="81"/>
            <rFont val="Tahoma"/>
            <family val="2"/>
          </rPr>
          <t xml:space="preserve">
Purchase of CPRT
Date of Purchase 7/3/23
Prior to the sale 
# of shares in account 0
Cost basis per share N/A
This action 
Shares purchased 100
Price per share 89.9798
Total paid $8,997.98
After the purchase 
New total # of shares in account 100
Cost basis per share  89.9798
</t>
        </r>
      </text>
    </comment>
    <comment ref="IC100" authorId="0" shapeId="0" xr:uid="{A9DBF79F-DBED-49D7-879B-E96B36D6CF97}">
      <text>
        <r>
          <rPr>
            <b/>
            <sz val="9"/>
            <color indexed="81"/>
            <rFont val="Tahoma"/>
            <family val="2"/>
          </rPr>
          <t>Rob Squire:</t>
        </r>
        <r>
          <rPr>
            <sz val="9"/>
            <color indexed="81"/>
            <rFont val="Tahoma"/>
            <family val="2"/>
          </rPr>
          <t xml:space="preserve">
Sale of DGX
Date of Sale 7/17/23
Prior to the sale 
# of shares in account 145
Cost basis per share 122.59
This action 
Shares sold 145
Price per share 140.06
Total received $20,308.53
Cost basis of shares sold $17,775.55
Profit (loss) $2,532.98 
After the sale 
Total # of shares remaining 0
Cost basis per share remains at 0
</t>
        </r>
      </text>
    </comment>
    <comment ref="JA100" authorId="0" shapeId="0" xr:uid="{3A1E3404-11DA-4989-8025-E7E1434C35DA}">
      <text>
        <r>
          <rPr>
            <b/>
            <sz val="9"/>
            <color indexed="81"/>
            <rFont val="Tahoma"/>
            <family val="2"/>
          </rPr>
          <t>Rob Squire:</t>
        </r>
        <r>
          <rPr>
            <sz val="9"/>
            <color indexed="81"/>
            <rFont val="Tahoma"/>
            <family val="2"/>
          </rPr>
          <t xml:space="preserve">
Purchase of LH
Date of Purchase 7/17/23
Prior to the sale 
# of shares in account 0
Cost basis per share N/A
This action 
Shares purchased 90
Price per share 212.8566
Total paid $19,157.09
After the purchase 
New total # of shares in account 90
Cost basis per share  212.8566
</t>
        </r>
      </text>
    </comment>
    <comment ref="JV100" authorId="0" shapeId="0" xr:uid="{E74B921D-052E-4552-8F4C-97C3CEC813A9}">
      <text>
        <r>
          <rPr>
            <b/>
            <sz val="9"/>
            <color indexed="81"/>
            <rFont val="Tahoma"/>
            <family val="2"/>
          </rPr>
          <t>Rob Squire:</t>
        </r>
        <r>
          <rPr>
            <sz val="9"/>
            <color indexed="81"/>
            <rFont val="Tahoma"/>
            <family val="2"/>
          </rPr>
          <t xml:space="preserve">
Purchase of TFC
Date of Purchase 6/27/23
Prior to the sale 
# of shares in account 0
Cost basis per share N/A
This action 
Shares purchased 400
Price per share 30.55
Total paid $12,220.00
After the purchase 
New total # of shares in account 400
Cost basis per share  30.55
</t>
        </r>
      </text>
    </comment>
    <comment ref="KS100" authorId="0" shapeId="0" xr:uid="{14024810-04A1-4241-94EB-76D639BEB4CA}">
      <text>
        <r>
          <rPr>
            <b/>
            <sz val="9"/>
            <color indexed="81"/>
            <rFont val="Tahoma"/>
            <family val="2"/>
          </rPr>
          <t>Rob Squire:</t>
        </r>
        <r>
          <rPr>
            <sz val="9"/>
            <color indexed="81"/>
            <rFont val="Tahoma"/>
            <family val="2"/>
          </rPr>
          <t xml:space="preserve">
Sale of XLF
Date of Sale 6/27/23
Prior to the sale 
# of shares in account 675
Cost basis per share 27.53
This action 
Shares sold 400
Price per share 32.9301
Total received $13,171.93
Cost basis of shares sold $11,012.00
Profit (loss) $2,159.93 
After the sale 
Total # of shares remaining 275
Cost basis per share remains at 27.53
</t>
        </r>
      </text>
    </comment>
    <comment ref="LQ100" authorId="0" shapeId="0" xr:uid="{388A869E-6C77-4737-9BFB-336D157D2AC5}">
      <text>
        <r>
          <rPr>
            <b/>
            <sz val="9"/>
            <color indexed="81"/>
            <rFont val="Tahoma"/>
            <family val="2"/>
          </rPr>
          <t>Rob Squire:</t>
        </r>
        <r>
          <rPr>
            <sz val="9"/>
            <color indexed="81"/>
            <rFont val="Tahoma"/>
            <family val="2"/>
          </rPr>
          <t xml:space="preserve">
Sale of DGX
Date of Sale 7/21/23
Prior to the sale 
# of shares in account 55
Cost basis per share 140.9
This action 
Shares sold 55
Price per share 144.6191
Total received $7,953.98
Cost basis of shares sold $7,749.50
Profit (loss) $204.48 
After the sale 
Total # of shares remaining 0
Cost basis per share remains at 0
</t>
        </r>
      </text>
    </comment>
    <comment ref="MF100" authorId="0" shapeId="0" xr:uid="{DC0B3C5B-EF94-46D3-8BEF-35B897A739E7}">
      <text>
        <r>
          <rPr>
            <b/>
            <sz val="9"/>
            <color indexed="81"/>
            <rFont val="Tahoma"/>
            <family val="2"/>
          </rPr>
          <t>Rob Squire:</t>
        </r>
        <r>
          <rPr>
            <sz val="9"/>
            <color indexed="81"/>
            <rFont val="Tahoma"/>
            <family val="2"/>
          </rPr>
          <t xml:space="preserve">
Purchase of LH
Date of Purchase 7/21/23
Prior to the sale 
# of shares in account 0
Cost basis per share N/A
This action 
Shares purchased 35
Price per share 218.6613
Total paid $7,653.15
After the purchase 
New total # of shares in account 35
Cost basis per share  218.6613
</t>
        </r>
      </text>
    </comment>
    <comment ref="MU100" authorId="0" shapeId="0" xr:uid="{AE19DF76-5FD2-4991-9A72-F1AB34B43692}">
      <text>
        <r>
          <rPr>
            <b/>
            <sz val="9"/>
            <color indexed="81"/>
            <rFont val="Tahoma"/>
            <family val="2"/>
          </rPr>
          <t>Rob Squire:</t>
        </r>
        <r>
          <rPr>
            <sz val="9"/>
            <color indexed="81"/>
            <rFont val="Tahoma"/>
            <family val="2"/>
          </rPr>
          <t xml:space="preserve">
Purchase of SCHQ
Date of Purchase 6/14/23
Prior to the sale  
# of shares in account 0
Cost basis per share N/A
This action  
Shares purchased 200
Price per share 36.0031
Total paid $7,200.62
After the purchase  
New total # of shares in account 200
Cost basis per share  36.0031
---------------------------------------------------------
Purchase of SCHQ
Date of Purchase 7/24/23
Prior to the sale 
# of shares in account 200
Cost basis per share 36.0031
This action 
Shares purchased 50
Price per share 35.7962
Total paid $1,789.81
After the purchase 
New total # of shares in account 250
Cost basis per share  35.96
</t>
        </r>
      </text>
    </comment>
    <comment ref="ND100" authorId="0" shapeId="0" xr:uid="{FCFC4E21-423C-41A8-A281-946BCD78767B}">
      <text>
        <r>
          <rPr>
            <b/>
            <sz val="9"/>
            <color indexed="81"/>
            <rFont val="Tahoma"/>
            <family val="2"/>
          </rPr>
          <t>Rob Squire:</t>
        </r>
        <r>
          <rPr>
            <sz val="9"/>
            <color indexed="81"/>
            <rFont val="Tahoma"/>
            <family val="2"/>
          </rPr>
          <t xml:space="preserve">
Sale of VCLT
Date of Sale 6/14/23
Prior to the sale 
# of shares in account 200
Cost basis per share 89.06
This action 
Shares sold 75
Price per share 77.12
Total received $5,783.95
Cost basis of shares sold $6,679.50
Profit (loss) ($895.55)
After the sale 
Total # of shares remaining 125
Cost basis per share remains at 89.06
</t>
        </r>
      </text>
    </comment>
    <comment ref="I101" authorId="0" shapeId="0" xr:uid="{910D9CA3-0033-4570-ADCD-1C1F0CF8C97C}">
      <text>
        <r>
          <rPr>
            <b/>
            <sz val="9"/>
            <color indexed="81"/>
            <rFont val="Tahoma"/>
            <family val="2"/>
          </rPr>
          <t>Rob Squire:</t>
        </r>
        <r>
          <rPr>
            <sz val="9"/>
            <color indexed="81"/>
            <rFont val="Tahoma"/>
            <family val="2"/>
          </rPr>
          <t xml:space="preserve">
Sale of IEFA
Date of Sale 9/29/23
Prior to the sale 
# of shares in account 525
Cost basis per share 63.92
This action 
Shares sold 25
Price per share 64.37
Total received $1,609.23
Cost basis of shares sold $1,598.00
Profit (loss) $11.25 
After the sale 
Total # of shares remaining 500
Cost basis per share remains at 63.92
</t>
        </r>
      </text>
    </comment>
    <comment ref="P101" authorId="0" shapeId="0" xr:uid="{DF0CEB53-5635-43D6-9430-F5FD3B335AE6}">
      <text>
        <r>
          <rPr>
            <b/>
            <sz val="9"/>
            <color indexed="81"/>
            <rFont val="Tahoma"/>
            <family val="2"/>
          </rPr>
          <t>Rob Squire:</t>
        </r>
        <r>
          <rPr>
            <sz val="9"/>
            <color indexed="81"/>
            <rFont val="Tahoma"/>
            <family val="2"/>
          </rPr>
          <t xml:space="preserve">
Sale of THOPX
Date of Sale 8/10/23
Prior to the sale 6974.76
# of shares in account 6974.76
Cost basis per share 11.03778481
This action  
Shares sold 6974.76
Price per share 9.71
Total received $67,724.92
Cost basis of shares sold $76,985.90
Profit (loss) ($9,260.98)
After the sale  
Total # of shares remaining 0
Cost basis per share remains at 0
</t>
        </r>
      </text>
    </comment>
    <comment ref="AT101" authorId="0" shapeId="0" xr:uid="{D01AFFE9-AD78-4475-9FF6-742BCFFBAFDE}">
      <text>
        <r>
          <rPr>
            <b/>
            <sz val="9"/>
            <color indexed="81"/>
            <rFont val="Tahoma"/>
            <family val="2"/>
          </rPr>
          <t>Rob Squire:</t>
        </r>
        <r>
          <rPr>
            <sz val="9"/>
            <color indexed="81"/>
            <rFont val="Tahoma"/>
            <family val="2"/>
          </rPr>
          <t xml:space="preserve">
7/31/2023 Dividend reinvested.  Added 6.21 shares for total of 
2756.21 shares</t>
        </r>
      </text>
    </comment>
    <comment ref="DO101" authorId="0" shapeId="0" xr:uid="{202C8E47-E183-4EA0-ACE8-17730743A1EE}">
      <text>
        <r>
          <rPr>
            <b/>
            <sz val="9"/>
            <color indexed="81"/>
            <rFont val="Tahoma"/>
            <family val="2"/>
          </rPr>
          <t>Rob Squire:</t>
        </r>
        <r>
          <rPr>
            <sz val="9"/>
            <color indexed="81"/>
            <rFont val="Tahoma"/>
            <family val="2"/>
          </rPr>
          <t xml:space="preserve">
Purchase of SCHQ
Date of Purchase 9/12/23
Prior to the sale  
# of shares in account 250
Cost basis per share 35.96
This action  
Shares purchased 50
Price per share 33.5299
Total paid $1,676.50
After the purchase  
New total # of shares in account 300
Cost basis per share  35.56
</t>
        </r>
      </text>
    </comment>
    <comment ref="FT101" authorId="0" shapeId="0" xr:uid="{2494FDE2-9CA2-42AF-81BE-6A1E4ABBB03F}">
      <text>
        <r>
          <rPr>
            <b/>
            <sz val="9"/>
            <color indexed="81"/>
            <rFont val="Tahoma"/>
            <family val="2"/>
          </rPr>
          <t>Rob Squire:</t>
        </r>
        <r>
          <rPr>
            <sz val="9"/>
            <color indexed="81"/>
            <rFont val="Tahoma"/>
            <family val="2"/>
          </rPr>
          <t xml:space="preserve">
Sale of IEFA
Date of Sale 9/29/23
Prior to the sale 
# of shares in account 525
Cost basis per share 63.92
This action 
Shares sold 25
Price per share 64.37
Total received $1,609.23
Cost basis of shares sold $1,598.00
Profit (loss) $11.25 
After the sale 
Total # of shares remaining 500
Cost basis per share remains at 63.92
</t>
        </r>
      </text>
    </comment>
    <comment ref="GE101" authorId="0" shapeId="0" xr:uid="{0F9C63D3-11E4-4D6A-B279-1D1F5911A299}">
      <text>
        <r>
          <rPr>
            <b/>
            <sz val="9"/>
            <color indexed="81"/>
            <rFont val="Tahoma"/>
            <family val="2"/>
          </rPr>
          <t>Rob Squire:</t>
        </r>
        <r>
          <rPr>
            <sz val="9"/>
            <color indexed="81"/>
            <rFont val="Tahoma"/>
            <family val="2"/>
          </rPr>
          <t xml:space="preserve">
Sale of NSRGY
Date of Sale 9/29/23
Prior to the sale 
# of shares in account 125
Cost basis per share 115.175
This action 
Shares sold 15
Price per share 112.85
Total received $1,692.73
Cost basis of shares sold $1,727.63
Profit (loss) ($34.90)
After the sale 
Total # of shares remaining 110
Cost basis per share remains at 115.175
</t>
        </r>
      </text>
    </comment>
    <comment ref="GI101" authorId="0" shapeId="0" xr:uid="{FC41C17F-F457-484A-8000-8B91290371CD}">
      <text>
        <r>
          <rPr>
            <b/>
            <sz val="9"/>
            <color indexed="81"/>
            <rFont val="Tahoma"/>
            <family val="2"/>
          </rPr>
          <t>Rob Squire:</t>
        </r>
        <r>
          <rPr>
            <sz val="9"/>
            <color indexed="81"/>
            <rFont val="Tahoma"/>
            <family val="2"/>
          </rPr>
          <t xml:space="preserve">
Sale of PG
Date of Sale 8/31/23
Prior to the sale  
# of shares in account 100
Cost basis per share 149.8493
This action  
Shares sold 15
Price per share 154.5967
Total received $2,318.95
Cost basis of shares sold $2,247.74
Profit (loss) $71.21 
After the sale  
Total # of shares remaining 85
Cost basis per share remains at 149.8493
</t>
        </r>
      </text>
    </comment>
    <comment ref="HI101" authorId="0" shapeId="0" xr:uid="{4A8393F9-97FC-4792-9ED3-7CD141F68583}">
      <text>
        <r>
          <rPr>
            <b/>
            <sz val="9"/>
            <color indexed="81"/>
            <rFont val="Tahoma"/>
            <family val="2"/>
          </rPr>
          <t>Rob Squire:</t>
        </r>
        <r>
          <rPr>
            <sz val="9"/>
            <color indexed="81"/>
            <rFont val="Tahoma"/>
            <family val="2"/>
          </rPr>
          <t xml:space="preserve">
Sale of ABBV
Date of Sale 9/25/23
Prior to the sale 
# of shares in account 150
Cost basis per share 116.2397
This action 
Shares sold 150
Price per share 153.7546
Total received $23,063.00
Cost basis of shares sold $17,435.96
Profit (loss) $5,627.05 
After the sale 
Total # of shares remaining 0
Cost basis per share remains at 0
</t>
        </r>
      </text>
    </comment>
    <comment ref="HY101" authorId="0" shapeId="0" xr:uid="{806F69CC-FD37-47BF-B102-20E6464577FC}">
      <text>
        <r>
          <rPr>
            <b/>
            <sz val="9"/>
            <color indexed="81"/>
            <rFont val="Tahoma"/>
            <family val="2"/>
          </rPr>
          <t>Rob Squire:</t>
        </r>
        <r>
          <rPr>
            <sz val="9"/>
            <color indexed="81"/>
            <rFont val="Tahoma"/>
            <family val="2"/>
          </rPr>
          <t xml:space="preserve">
8/22/2023 2 for 1 stock split.  
After the split:
200 shares
Basis = 44.9899</t>
        </r>
      </text>
    </comment>
    <comment ref="IL101" authorId="0" shapeId="0" xr:uid="{EDC43481-C5F8-4369-A927-65B61C6ED3D1}">
      <text>
        <r>
          <rPr>
            <b/>
            <sz val="9"/>
            <color indexed="81"/>
            <rFont val="Tahoma"/>
            <family val="2"/>
          </rPr>
          <t>Rob Squire:</t>
        </r>
        <r>
          <rPr>
            <sz val="9"/>
            <color indexed="81"/>
            <rFont val="Tahoma"/>
            <family val="2"/>
          </rPr>
          <t xml:space="preserve">
Purchase of GEHC
Date of Purchase 9/25/23
Prior to the sale 
# of shares in account 0
Cost basis per share N/A
This action 
Shares purchased 300
Price per share 66.4303
Total paid $19,929.09
After the purchase 
New total # of shares in account 300
Cost basis per share  66.4303
</t>
        </r>
      </text>
    </comment>
    <comment ref="LE101" authorId="0" shapeId="0" xr:uid="{10E6E0D4-F9D5-462B-AA3E-41108FF6750F}">
      <text>
        <r>
          <rPr>
            <b/>
            <sz val="9"/>
            <color indexed="81"/>
            <rFont val="Tahoma"/>
            <family val="2"/>
          </rPr>
          <t>Rob Squire:</t>
        </r>
        <r>
          <rPr>
            <sz val="9"/>
            <color indexed="81"/>
            <rFont val="Tahoma"/>
            <family val="2"/>
          </rPr>
          <t xml:space="preserve">
Purchase of Treasury Notes
Date of Purchase 9/27/23
Prior to the sale 
# of shares in account 0
Cost basis per share N/A
This action 
Shares purchased 90
Price per share 96.191406
Total paid $8,723.99
After the purchase 
New total # of shares in account 90
Cost basis per share  96.191406
</t>
        </r>
      </text>
    </comment>
    <comment ref="LU101" authorId="0" shapeId="0" xr:uid="{F8B6A151-5D5C-4DC9-880A-AC387A8DDCB2}">
      <text>
        <r>
          <rPr>
            <b/>
            <sz val="9"/>
            <color indexed="81"/>
            <rFont val="Tahoma"/>
            <family val="2"/>
          </rPr>
          <t>Rob Squire:</t>
        </r>
        <r>
          <rPr>
            <sz val="9"/>
            <color indexed="81"/>
            <rFont val="Tahoma"/>
            <family val="2"/>
          </rPr>
          <t xml:space="preserve">
Sale of FLRN
Date of Sale 9/27/23
Prior to the sale 
# of shares in account 275
Cost basis per share 30.46
This action 
Shares sold 275
Price per share 30.7006
Total received $8,442.67
Cost basis of shares sold $8,376.50
Profit (loss) $66.17 
After the sale 
Total # of shares remaining 0
Cost basis per share remains at 0
</t>
        </r>
      </text>
    </comment>
    <comment ref="MU101" authorId="0" shapeId="0" xr:uid="{2E079A53-4E4F-4007-BEA3-9BD9BABDA9FE}">
      <text>
        <r>
          <rPr>
            <b/>
            <sz val="9"/>
            <color indexed="81"/>
            <rFont val="Tahoma"/>
            <family val="2"/>
          </rPr>
          <t>Rob Squire:</t>
        </r>
        <r>
          <rPr>
            <sz val="9"/>
            <color indexed="81"/>
            <rFont val="Tahoma"/>
            <family val="2"/>
          </rPr>
          <t xml:space="preserve">
Purchase of SCHQ
Date of Purchase 9/12/23
Prior to the sale  
# of shares in account 250
Cost basis per share 35.96
This action  
Shares purchased 50
Price per share 33.5299
Total paid $1,676.50
After the purchase  
New total # of shares in account 300
Cost basis per share  35.56
</t>
        </r>
      </text>
    </comment>
    <comment ref="OP101" authorId="0" shapeId="0" xr:uid="{65985FEF-1350-4E6B-B5B0-AB84ABD7C144}">
      <text>
        <r>
          <rPr>
            <b/>
            <sz val="9"/>
            <color indexed="81"/>
            <rFont val="Tahoma"/>
            <family val="2"/>
          </rPr>
          <t>Rob Squire:</t>
        </r>
        <r>
          <rPr>
            <sz val="9"/>
            <color indexed="81"/>
            <rFont val="Tahoma"/>
            <family val="2"/>
          </rPr>
          <t xml:space="preserve">
Sale of THOPX
Date of Sale 8/10/23
Prior to the sale  
# of shares in account 2,157
Cost basis per share 9.985745566
This action  
Shares sold 2,157
Price per share 9.71
Total received $20,939.83
Cost basis of shares sold $21,534.48
Profit (loss) ($594.65)
After the sale  
Total # of shares remaining 0
Cost basis per share remains at 0
</t>
        </r>
      </text>
    </comment>
    <comment ref="T102" authorId="0" shapeId="0" xr:uid="{32AF38B7-7DB7-444B-B065-52284DCB3D81}">
      <text>
        <r>
          <rPr>
            <b/>
            <sz val="9"/>
            <color indexed="81"/>
            <rFont val="Tahoma"/>
            <family val="2"/>
          </rPr>
          <t>Rob Squire:</t>
        </r>
        <r>
          <rPr>
            <sz val="9"/>
            <color indexed="81"/>
            <rFont val="Tahoma"/>
            <family val="2"/>
          </rPr>
          <t xml:space="preserve">
Purchase of VSS
Date of Purchase 10/31/23
Prior to the sale 
# of shares in account 70
Cost basis per share 105.6223
This action 
Shares purchased 30
Price per share 101.01
Total paid $3,030.30
After the purchase 
New total # of shares in account 100
Cost basis per share  104.24
</t>
        </r>
      </text>
    </comment>
    <comment ref="AJ102" authorId="0" shapeId="0" xr:uid="{AAC81BFF-7E77-44B6-A505-6C866EA4CB72}">
      <text>
        <r>
          <rPr>
            <b/>
            <sz val="9"/>
            <color indexed="81"/>
            <rFont val="Tahoma"/>
            <family val="2"/>
          </rPr>
          <t>Rob Squire:</t>
        </r>
        <r>
          <rPr>
            <sz val="9"/>
            <color indexed="81"/>
            <rFont val="Tahoma"/>
            <family val="2"/>
          </rPr>
          <t xml:space="preserve">
Purchase of AMZN
Date of Purchase 10/31/23
Prior to the sale 
# of shares in account 0
Cost basis per share N/A
This action 
Shares purchased 125
Price per share 132.8074
Total paid $16,600.93
After the purchase 
New total # of shares in account 125
Cost basis per share  132.8074
</t>
        </r>
      </text>
    </comment>
    <comment ref="AL102" authorId="0" shapeId="0" xr:uid="{81720B65-291D-42D8-97D3-BA31DE1D58FE}">
      <text>
        <r>
          <rPr>
            <b/>
            <sz val="9"/>
            <color indexed="81"/>
            <rFont val="Tahoma"/>
            <family val="2"/>
          </rPr>
          <t>Rob Squire:</t>
        </r>
        <r>
          <rPr>
            <sz val="9"/>
            <color indexed="81"/>
            <rFont val="Tahoma"/>
            <family val="2"/>
          </rPr>
          <t xml:space="preserve">
Sale of AZO
Date of Sale 10/31/23
Prior to the sale 
# of shares in account 9
Cost basis per share 1164.1974
This action 
Shares sold 1
Price per share 2475.39
Total received $2,475.37
Cost basis of shares sold $1,164.20
Profit (loss) $1,311.17 
After the sale 
Total # of shares remaining 8
Cost basis per share remains at 1164.1974
</t>
        </r>
      </text>
    </comment>
    <comment ref="CV102" authorId="0" shapeId="0" xr:uid="{4834F40D-981A-4D0F-81FB-5E9A4A478F75}">
      <text>
        <r>
          <rPr>
            <b/>
            <sz val="9"/>
            <color indexed="81"/>
            <rFont val="Tahoma"/>
            <family val="2"/>
          </rPr>
          <t>Rob Squire:</t>
        </r>
        <r>
          <rPr>
            <sz val="9"/>
            <color indexed="81"/>
            <rFont val="Tahoma"/>
            <family val="2"/>
          </rPr>
          <t xml:space="preserve">
Sale of WM
Date of Sale 10/23/23
Prior to the sale 
# of shares in account 150
Cost basis per share 114.4523
This action 
Shares sold 20
Price per share 156.39
Total received $3,127.77
Cost basis of shares sold $2,289.05
Profit (loss) $838.72 
After the sale 
Total # of shares remaining 130
Cost basis per share remains at 114.4523
</t>
        </r>
      </text>
    </comment>
    <comment ref="FN102" authorId="0" shapeId="0" xr:uid="{5C77B481-93EA-467B-9FFC-BE829E3A69EB}">
      <text>
        <r>
          <rPr>
            <b/>
            <sz val="9"/>
            <color indexed="81"/>
            <rFont val="Tahoma"/>
            <family val="2"/>
          </rPr>
          <t>Rob Squire:</t>
        </r>
        <r>
          <rPr>
            <sz val="9"/>
            <color indexed="81"/>
            <rFont val="Tahoma"/>
            <family val="2"/>
          </rPr>
          <t xml:space="preserve">
Sale of DIS
Date of Sale 11/30/23
Prior to the sale 
# of shares in account 100
Cost basis per share 147.68
This action 
Shares sold 100
Price per share 92.31
Total received $9,231.00
Cost basis of shares sold $14,768.00
Profit (loss) ($5,537.00)
After the sale 
Total # of shares remaining 0
Cost basis per share remains at 0
</t>
        </r>
      </text>
    </comment>
    <comment ref="GE102" authorId="0" shapeId="0" xr:uid="{A41CF6F6-C9D7-4045-8C7F-DB8EB1130DCA}">
      <text>
        <r>
          <rPr>
            <b/>
            <sz val="9"/>
            <color indexed="81"/>
            <rFont val="Tahoma"/>
            <family val="2"/>
          </rPr>
          <t>Rob Squire:</t>
        </r>
        <r>
          <rPr>
            <sz val="9"/>
            <color indexed="81"/>
            <rFont val="Tahoma"/>
            <family val="2"/>
          </rPr>
          <t xml:space="preserve">
Sale of NSRGY
Date of Sale 10/31/23
Prior to the sale 
# of shares in account 110
Cost basis per share 115.175
This action 
Shares sold 110
Price per share 107.9329
Total received $11,872.52
Cost basis of shares sold $12,669.25
Profit (loss) ($796.73)
After the sale 
Total # of shares remaining 0
Cost basis per share remains at 0
</t>
        </r>
      </text>
    </comment>
    <comment ref="GI102" authorId="0" shapeId="0" xr:uid="{0888198F-E5D2-4D29-9BC7-B64793DCD931}">
      <text>
        <r>
          <rPr>
            <b/>
            <sz val="9"/>
            <color indexed="81"/>
            <rFont val="Tahoma"/>
            <family val="2"/>
          </rPr>
          <t>Rob Squire:</t>
        </r>
        <r>
          <rPr>
            <sz val="9"/>
            <color indexed="81"/>
            <rFont val="Tahoma"/>
            <family val="2"/>
          </rPr>
          <t xml:space="preserve">
Purchase of PG
Date of Purchase 10/31/23
Prior to the sale 
# of shares in account 85
Cost basis per share 149.8493
This action 
Shares purchased 20
Price per share 149.5225
Total paid $2,990.45
After the purchase 
New total # of shares in account 105
Cost basis per share  149.79
</t>
        </r>
      </text>
    </comment>
    <comment ref="GR102" authorId="0" shapeId="0" xr:uid="{28CE9317-50B0-419E-8D0C-68EBB8B4B779}">
      <text>
        <r>
          <rPr>
            <b/>
            <sz val="9"/>
            <color indexed="81"/>
            <rFont val="Tahoma"/>
            <family val="2"/>
          </rPr>
          <t>Rob Squire:</t>
        </r>
        <r>
          <rPr>
            <sz val="9"/>
            <color indexed="81"/>
            <rFont val="Tahoma"/>
            <family val="2"/>
          </rPr>
          <t xml:space="preserve">
Purchase of UNP
Date of Purchase 11/30/23
Prior to the sale 
# of shares in account 0
Cost basis per share N/A
This action 
Shares purchased 40
Price per share 224.31
Total paid $8,972.40
After the purchase 
New total # of shares in account 40
Cost basis per share  224.31
</t>
        </r>
      </text>
    </comment>
    <comment ref="GV102" authorId="0" shapeId="0" xr:uid="{F44EB0E2-A64B-4C3C-B94D-38DE939A7186}">
      <text>
        <r>
          <rPr>
            <b/>
            <sz val="9"/>
            <color indexed="81"/>
            <rFont val="Tahoma"/>
            <family val="2"/>
          </rPr>
          <t>Rob Squire:</t>
        </r>
        <r>
          <rPr>
            <sz val="9"/>
            <color indexed="81"/>
            <rFont val="Tahoma"/>
            <family val="2"/>
          </rPr>
          <t xml:space="preserve">
Purchase of VSS
Date of Purchase 10/31/23
Prior to the sale 
# of shares in account 70
Cost basis per share 105.6223
This action 
Shares purchased 30
Price per share 101.01
Total paid $3,030.30
After the purchase 
New total # of shares in account 100
Cost basis per share  104.24
</t>
        </r>
      </text>
    </comment>
    <comment ref="HJ102" authorId="0" shapeId="0" xr:uid="{D73AC865-D3ED-459A-848B-C8919F96C531}">
      <text>
        <r>
          <rPr>
            <b/>
            <sz val="9"/>
            <color indexed="81"/>
            <rFont val="Tahoma"/>
            <family val="2"/>
          </rPr>
          <t>Rob Squire:</t>
        </r>
        <r>
          <rPr>
            <sz val="9"/>
            <color indexed="81"/>
            <rFont val="Tahoma"/>
            <family val="2"/>
          </rPr>
          <t xml:space="preserve">
Purchase of AMZN
Date of Purchase 10/31/23
Prior to the sale 
# of shares in account 0
Cost basis per share N/A
This action 
Shares purchased 125
Price per share 132.8074
Total paid $16,600.93
After the purchase 
New total # of shares in account 125
Cost basis per share  132.8074
</t>
        </r>
      </text>
    </comment>
    <comment ref="HN102" authorId="0" shapeId="0" xr:uid="{23AE48DF-E38B-4F11-B9E3-92E4FB26AD3C}">
      <text>
        <r>
          <rPr>
            <b/>
            <sz val="9"/>
            <color indexed="81"/>
            <rFont val="Tahoma"/>
            <family val="2"/>
          </rPr>
          <t>Rob Squire:</t>
        </r>
        <r>
          <rPr>
            <sz val="9"/>
            <color indexed="81"/>
            <rFont val="Tahoma"/>
            <family val="2"/>
          </rPr>
          <t xml:space="preserve">
Sale of AZO
Date of Sale 10/31/23
Prior to the sale 
# of shares in account 9
Cost basis per share 1164.1974
This action 
Shares sold 1
Price per share 2475.39
Total received $2,475.37
Cost basis of shares sold $1,164.20
Profit (loss) $1,311.17 
After the sale 
Total # of shares remaining 8
Cost basis per share remains at 1164.1974
</t>
        </r>
      </text>
    </comment>
    <comment ref="HQ102" authorId="0" shapeId="0" xr:uid="{9B27DA37-E747-4583-A114-BBCD1D3B1537}">
      <text>
        <r>
          <rPr>
            <b/>
            <sz val="9"/>
            <color indexed="81"/>
            <rFont val="Tahoma"/>
            <family val="2"/>
          </rPr>
          <t>Rob Squire:</t>
        </r>
        <r>
          <rPr>
            <sz val="9"/>
            <color indexed="81"/>
            <rFont val="Tahoma"/>
            <family val="2"/>
          </rPr>
          <t xml:space="preserve">
Purchase of BFB
Date of Purchase 10/23/23
Prior to the sale 
# of shares in account 250
Cost basis per share 69.79
This action 
Shares purchased 50
Price per share 55.15
Total paid $2,757.50
After the purchase 
New total # of shares in account 300
Cost basis per share  66.57
Purchase of BFB
Date of Purchase 10/31/23
Prior to the sale 
# of shares in account 300
Cost basis per share 66.57
This action 
Shares purchased 50
Price per share 55.7258
Total paid $2,786.29
After the purchase 
New total # of shares in account 350
Cost basis per share  65.02
</t>
        </r>
      </text>
    </comment>
    <comment ref="IA102" authorId="0" shapeId="0" xr:uid="{F9276984-4883-45AA-AAC0-702740FA6582}">
      <text>
        <r>
          <rPr>
            <b/>
            <sz val="9"/>
            <color indexed="81"/>
            <rFont val="Tahoma"/>
            <family val="2"/>
          </rPr>
          <t>Rob Squire:</t>
        </r>
        <r>
          <rPr>
            <sz val="9"/>
            <color indexed="81"/>
            <rFont val="Tahoma"/>
            <family val="2"/>
          </rPr>
          <t xml:space="preserve">
Sale of CTSH
Date of Sale 10/31/23
Prior to the sale 
# of shares in account 325
Cost basis per share 70.47
This action 
Shares sold 325
Price per share 61.3508
Total received $19,939.01
Cost basis of shares sold $22,902.75
Profit (loss) ($2,963.74)
After the sale 
Total # of shares remaining 0
Cost basis per share remains at 0
</t>
        </r>
      </text>
    </comment>
    <comment ref="IZ102" authorId="0" shapeId="0" xr:uid="{2A4DFEDA-8B3D-443A-AE27-2AFECFA815A7}">
      <text>
        <r>
          <rPr>
            <b/>
            <sz val="9"/>
            <color indexed="81"/>
            <rFont val="Tahoma"/>
            <family val="2"/>
          </rPr>
          <t>Rob Squire:</t>
        </r>
        <r>
          <rPr>
            <sz val="9"/>
            <color indexed="81"/>
            <rFont val="Tahoma"/>
            <family val="2"/>
          </rPr>
          <t xml:space="preserve">
Purchase of KO
Date of Purchase 10/31/23
Prior to the sale 
# of shares in account 300
Cost basis per share 49.3638
This action 
Shares purchased 50
Price per share 56.4315
Total paid $2,821.58
After the purchase 
New total # of shares in account 350
Cost basis per share  50.37
</t>
        </r>
      </text>
    </comment>
    <comment ref="KQ102" authorId="0" shapeId="0" xr:uid="{3F118A14-A530-466D-8187-5C1544B85EB4}">
      <text>
        <r>
          <rPr>
            <b/>
            <sz val="9"/>
            <color indexed="81"/>
            <rFont val="Tahoma"/>
            <family val="2"/>
          </rPr>
          <t>Rob Squire:</t>
        </r>
        <r>
          <rPr>
            <sz val="9"/>
            <color indexed="81"/>
            <rFont val="Tahoma"/>
            <family val="2"/>
          </rPr>
          <t xml:space="preserve">
Sale of WM
Date of Sale 10/23/23
Prior to the sale 
# of shares in account 150
Cost basis per share 114.4523
This action 
Shares sold 20
Price per share 156.39
Total received $3,127.77
Cost basis of shares sold $2,289.05
Profit (loss) $838.72 
After the sale 
Total # of shares remaining 130
Cost basis per share remains at 114.4523
</t>
        </r>
      </text>
    </comment>
    <comment ref="M103" authorId="0" shapeId="0" xr:uid="{C736512E-C835-4DB8-8969-23BBF5882F43}">
      <text>
        <r>
          <rPr>
            <b/>
            <sz val="9"/>
            <color indexed="81"/>
            <rFont val="Tahoma"/>
            <family val="2"/>
          </rPr>
          <t>Rob Squire:</t>
        </r>
        <r>
          <rPr>
            <sz val="9"/>
            <color indexed="81"/>
            <rFont val="Tahoma"/>
            <family val="2"/>
          </rPr>
          <t xml:space="preserve">
Sale of MSFT
Date of Sale 1/31/24
Prior to the sale  
# of shares in account 60
Cost basis per share 221.05
This action  
Shares sold 10
Price per share 398.6612
Total received $3,986.57
Cost basis of shares sold $2,210.50
Profit (loss) $1,776.07 
After the sale  
Total # of shares remaining 50
Cost basis per share remains at 221.05
</t>
        </r>
      </text>
    </comment>
    <comment ref="AI103" authorId="0" shapeId="0" xr:uid="{05A5DB7D-BEBA-413D-85FF-A44E98E802B1}">
      <text>
        <r>
          <rPr>
            <b/>
            <sz val="9"/>
            <color indexed="81"/>
            <rFont val="Tahoma"/>
            <family val="2"/>
          </rPr>
          <t>Rob Squire:</t>
        </r>
        <r>
          <rPr>
            <sz val="9"/>
            <color indexed="81"/>
            <rFont val="Tahoma"/>
            <family val="2"/>
          </rPr>
          <t xml:space="preserve">
Sale of ABBV
Date of Sale 12/4/23
Prior to the sale 
# of shares in account 65
Cost basis per share 117.04
This action 
Shares sold 10
Price per share 144.2101
Total received $1,442.08
Cost basis of shares sold $1,170.40
Profit (loss) $271.68 
After the sale 
Total # of shares remaining 55
Cost basis per share remains at 117.04
</t>
        </r>
      </text>
    </comment>
    <comment ref="AJ103" authorId="0" shapeId="0" xr:uid="{BBB0507B-29A4-4D93-86FC-CFADD52680FA}">
      <text>
        <r>
          <rPr>
            <b/>
            <sz val="9"/>
            <color indexed="81"/>
            <rFont val="Tahoma"/>
            <family val="2"/>
          </rPr>
          <t>Rob Squire:</t>
        </r>
        <r>
          <rPr>
            <sz val="9"/>
            <color indexed="81"/>
            <rFont val="Tahoma"/>
            <family val="2"/>
          </rPr>
          <t xml:space="preserve">
Sale of AMZN
Date of Sale 1/31/24
Prior to the sale 
# of shares in account 125
Cost basis per share 132.8074
This action 
Shares sold 10
Price per share 159.9462
Total received $1,599.46
Cost basis of shares sold $1,328.07
Profit (loss) $271.39 
After the sale 
Total # of shares remaining 115
Cost basis per share remains at 132.8074
</t>
        </r>
      </text>
    </comment>
    <comment ref="AL103" authorId="0" shapeId="0" xr:uid="{6E88379D-261F-40F4-9741-E02B21EC235D}">
      <text>
        <r>
          <rPr>
            <b/>
            <sz val="9"/>
            <color indexed="81"/>
            <rFont val="Tahoma"/>
            <family val="2"/>
          </rPr>
          <t>Rob Squire:</t>
        </r>
        <r>
          <rPr>
            <sz val="9"/>
            <color indexed="81"/>
            <rFont val="Tahoma"/>
            <family val="2"/>
          </rPr>
          <t xml:space="preserve">
Sale of AZO
Date of Sale 1/31/24
Prior to the sale 
# of shares in account 8
Cost basis per share 1164.1974
This action 
Shares sold 1
Price per share 2798.87
Total received $2,798.84
Cost basis of shares sold $1,164.20
Profit (loss) $1,634.64 
After the sale 
Total # of shares remaining 7
Cost basis per share remains at 1164.1974
</t>
        </r>
      </text>
    </comment>
    <comment ref="AR103" authorId="0" shapeId="0" xr:uid="{004E13C1-09AA-4E2F-A61F-E0B5EBC74BED}">
      <text>
        <r>
          <rPr>
            <b/>
            <sz val="9"/>
            <color indexed="81"/>
            <rFont val="Tahoma"/>
            <family val="2"/>
          </rPr>
          <t>Rob Squire:</t>
        </r>
        <r>
          <rPr>
            <sz val="9"/>
            <color indexed="81"/>
            <rFont val="Tahoma"/>
            <family val="2"/>
          </rPr>
          <t xml:space="preserve">
Purchase of CVX
Date of Purchase 1/31/24
Prior to the sale  
# of shares in account 0
Cost basis per share N/A
This action  
Shares purchased 50
Price per share 147.7148
Total paid $7,385.74
After the purchase  
New total # of shares in account 50
Cost basis per share  147.7148
</t>
        </r>
      </text>
    </comment>
    <comment ref="BE103" authorId="0" shapeId="0" xr:uid="{ABCEC7F4-1E1B-48F7-AAD2-10767019A09E}">
      <text>
        <r>
          <rPr>
            <b/>
            <sz val="9"/>
            <color indexed="81"/>
            <rFont val="Tahoma"/>
            <family val="2"/>
          </rPr>
          <t>Rob Squire:</t>
        </r>
        <r>
          <rPr>
            <sz val="9"/>
            <color indexed="81"/>
            <rFont val="Tahoma"/>
            <family val="2"/>
          </rPr>
          <t xml:space="preserve">
Sale of GOOG
Date of Sale 1/31/24
Prior to the sale 
# of shares in account 160
Cost basis per share 89.01
This action 
Shares sold 25
Price per share 153.6812
Total received $3,841.99
Cost basis of shares sold $2,225.25
Profit (loss) $1,616.74 
After the sale 
Total # of shares remaining 135
Cost basis per share remains at 89.01
</t>
        </r>
      </text>
    </comment>
    <comment ref="BJ103" authorId="0" shapeId="0" xr:uid="{D2E3DF32-8983-4608-AACF-8881B564A4BA}">
      <text>
        <r>
          <rPr>
            <b/>
            <sz val="9"/>
            <color indexed="81"/>
            <rFont val="Tahoma"/>
            <family val="2"/>
          </rPr>
          <t>Rob Squire:</t>
        </r>
        <r>
          <rPr>
            <sz val="9"/>
            <color indexed="81"/>
            <rFont val="Tahoma"/>
            <family val="2"/>
          </rPr>
          <t xml:space="preserve">
Sale of HD
Date of Sale 12/5/23
Prior to the sale  
# of shares in account 75
Cost basis per share 276.29
This action  
Shares sold 20
Price per share 323.77
Total received $6,475.34
Cost basis of shares sold $5,525.80
Profit (loss) $949.54 
After the sale  
Total # of shares remaining 55
Cost basis per share remains at 273.45
</t>
        </r>
      </text>
    </comment>
    <comment ref="BN103" authorId="0" shapeId="0" xr:uid="{5A357526-A55A-4A7A-AB5B-55A77927A990}">
      <text>
        <r>
          <rPr>
            <b/>
            <sz val="9"/>
            <color indexed="81"/>
            <rFont val="Tahoma"/>
            <family val="2"/>
          </rPr>
          <t>Rob Squire:</t>
        </r>
        <r>
          <rPr>
            <sz val="9"/>
            <color indexed="81"/>
            <rFont val="Tahoma"/>
            <family val="2"/>
          </rPr>
          <t xml:space="preserve">
Purchase of IJR
Date of Purchase 1/31/24
Prior to the sale  
# of shares in account 0
Cost basis per share N/A
This action  
Shares purchased 75
Price per share 106.0553
Total paid $7,954.15
After the purchase  
New total # of shares in account 75
Cost basis per share  106.0553
</t>
        </r>
      </text>
    </comment>
    <comment ref="BY103" authorId="0" shapeId="0" xr:uid="{6FA99B27-351F-4E9A-90C3-C09D80043C61}">
      <text>
        <r>
          <rPr>
            <b/>
            <sz val="9"/>
            <color indexed="81"/>
            <rFont val="Tahoma"/>
            <family val="2"/>
          </rPr>
          <t>Rob Squire:</t>
        </r>
        <r>
          <rPr>
            <sz val="9"/>
            <color indexed="81"/>
            <rFont val="Tahoma"/>
            <family val="2"/>
          </rPr>
          <t xml:space="preserve">
Sale of PG
Date of Sale 12/4/23
Prior to the sale  
# of shares in account 65
Cost basis per share 139.46
This action  
Shares sold 10
Price per share 151.76
Total received $1,517.58
Cost basis of shares sold $1,394.60
Profit (loss) $122.98 
After the sale  
Total # of shares remaining 55
Cost basis per share remains at 139.46
</t>
        </r>
      </text>
    </comment>
    <comment ref="CS103" authorId="0" shapeId="0" xr:uid="{C93C9792-798B-4E98-8E34-494F1F1E4C79}">
      <text>
        <r>
          <rPr>
            <b/>
            <sz val="9"/>
            <color indexed="81"/>
            <rFont val="Tahoma"/>
            <family val="2"/>
          </rPr>
          <t>Rob Squire:</t>
        </r>
        <r>
          <rPr>
            <sz val="9"/>
            <color indexed="81"/>
            <rFont val="Tahoma"/>
            <family val="2"/>
          </rPr>
          <t xml:space="preserve">
Purchase of VRTX
Date of Purchase 12/28/24
Prior to the sale  
# of shares in account 0
Cost basis per share N/A
This action  
Shares purchased 15
Price per share 409.8606
Total paid $6,147.91
After the purchase  
New total # of shares in account 15
Cost basis per share  409.8606
</t>
        </r>
      </text>
    </comment>
    <comment ref="CV103" authorId="0" shapeId="0" xr:uid="{8BF94B79-BBCB-4809-BD2C-A25F6DB3B9F1}">
      <text>
        <r>
          <rPr>
            <b/>
            <sz val="9"/>
            <color indexed="81"/>
            <rFont val="Tahoma"/>
            <family val="2"/>
          </rPr>
          <t>Rob Squire:</t>
        </r>
        <r>
          <rPr>
            <sz val="9"/>
            <color indexed="81"/>
            <rFont val="Tahoma"/>
            <family val="2"/>
          </rPr>
          <t xml:space="preserve">
Sale of WM
Date of Sale 1/31/24
Prior to the sale  
# of shares in account 130
Cost basis per share 114.4523
This action  
Shares sold 20
Price per share 185.7155
Total received $3,714.28
Cost basis of shares sold $2,289.05
Profit (loss) $1,425.23 
After the sale  
Total # of shares remaining 110
Cost basis per share remains at 114.4523
</t>
        </r>
      </text>
    </comment>
    <comment ref="DK103" authorId="0" shapeId="0" xr:uid="{F5974897-842B-4222-89BC-78E7E286F9F9}">
      <text>
        <r>
          <rPr>
            <b/>
            <sz val="9"/>
            <color indexed="81"/>
            <rFont val="Tahoma"/>
            <family val="2"/>
          </rPr>
          <t>Rob Squire:</t>
        </r>
        <r>
          <rPr>
            <sz val="9"/>
            <color indexed="81"/>
            <rFont val="Tahoma"/>
            <family val="2"/>
          </rPr>
          <t xml:space="preserve">
Purchase of ICSH
Date of Purchase 1/4/24
Prior to the sale  
# of shares in account 0
Cost basis per share N/A
This action  
Shares purchased 55
Price per share 50.37
Total paid $2,770.35
After the purchase  
New total # of shares in account 55
Cost basis per share  50.37
</t>
        </r>
      </text>
    </comment>
    <comment ref="DM103" authorId="0" shapeId="0" xr:uid="{5D258C24-11D6-4EB1-ABB9-009F29117F64}">
      <text>
        <r>
          <rPr>
            <b/>
            <sz val="9"/>
            <color indexed="81"/>
            <rFont val="Tahoma"/>
            <family val="2"/>
          </rPr>
          <t>Rob Squire:</t>
        </r>
        <r>
          <rPr>
            <sz val="9"/>
            <color indexed="81"/>
            <rFont val="Tahoma"/>
            <family val="2"/>
          </rPr>
          <t xml:space="preserve">
Sale of MBB
Date of Sale 12/4/23
Prior to the sale  
# of shares in account 225
Cost basis per share 108.26
This action  
Shares sold 25
Price per share 91.05
Total received $2,276.23
Cost basis of shares sold $2,706.50
Profit (loss) ($430.27)
After the sale  
Total # of shares remaining 200
Cost basis per share remains at 108.26
</t>
        </r>
      </text>
    </comment>
    <comment ref="DP103" authorId="0" shapeId="0" xr:uid="{5B464349-CA46-46B8-BA64-9E2C02084586}">
      <text>
        <r>
          <rPr>
            <b/>
            <sz val="9"/>
            <color indexed="81"/>
            <rFont val="Tahoma"/>
            <family val="2"/>
          </rPr>
          <t>Rob Squire:</t>
        </r>
        <r>
          <rPr>
            <sz val="9"/>
            <color indexed="81"/>
            <rFont val="Tahoma"/>
            <family val="2"/>
          </rPr>
          <t xml:space="preserve">
Sale of SCHR
Date of Sale 12/4/23
Prior to the sale  
# of shares in account 450
Cost basis per share 56.67
This action  
Shares sold 50
Price per share 48.7301
Total received $2,436.49
Cost basis of shares sold $2,833.50
Profit (loss) ($397.01)
After the sale  
Total # of shares remaining 400
Cost basis per share remains at 56.67
</t>
        </r>
      </text>
    </comment>
    <comment ref="GD103" authorId="0" shapeId="0" xr:uid="{52CCCEB6-725F-4FEC-969F-28758BA7043F}">
      <text>
        <r>
          <rPr>
            <b/>
            <sz val="9"/>
            <color indexed="81"/>
            <rFont val="Tahoma"/>
            <family val="2"/>
          </rPr>
          <t>Rob Squire:</t>
        </r>
        <r>
          <rPr>
            <sz val="9"/>
            <color indexed="81"/>
            <rFont val="Tahoma"/>
            <family val="2"/>
          </rPr>
          <t xml:space="preserve">
Sale of MSFT
Date of Sale 1/31/24
Prior to the sale  
# of shares in account 60
Cost basis per share 221.05
This action  
Shares sold 10
Price per share 398.6612
Total received $3,986.57
Cost basis of shares sold $2,210.50
Profit (loss) $1,776.07 
After the sale  
Total # of shares remaining 50
Cost basis per share remains at 221.05
</t>
        </r>
      </text>
    </comment>
    <comment ref="GL103" authorId="0" shapeId="0" xr:uid="{A96BBF33-8DB8-4A1E-BC76-1777DCFFC2C6}">
      <text>
        <r>
          <rPr>
            <b/>
            <sz val="9"/>
            <color indexed="81"/>
            <rFont val="Tahoma"/>
            <family val="2"/>
          </rPr>
          <t>Rob Squire:</t>
        </r>
        <r>
          <rPr>
            <sz val="9"/>
            <color indexed="81"/>
            <rFont val="Tahoma"/>
            <family val="2"/>
          </rPr>
          <t xml:space="preserve">
Purchase of RHHBY
Date of Purchase 12/28/23
Prior to the sale  
# of shares in account 0
Cost basis per share N/A
This action  
Shares purchased 150
Price per share 36.1477
Total paid $5,422.16
After the purchase  
New total # of shares in account 150
Cost basis per share  36.1477
</t>
        </r>
      </text>
    </comment>
    <comment ref="GM103" authorId="0" shapeId="0" xr:uid="{D2BDE3FF-9CDD-48FE-BA5E-6B1A797D4526}">
      <text>
        <r>
          <rPr>
            <b/>
            <sz val="9"/>
            <color indexed="81"/>
            <rFont val="Tahoma"/>
            <family val="2"/>
          </rPr>
          <t>Rob Squire:</t>
        </r>
        <r>
          <rPr>
            <sz val="9"/>
            <color indexed="81"/>
            <rFont val="Tahoma"/>
            <family val="2"/>
          </rPr>
          <t xml:space="preserve">
Sale of SBUX
Date of Sale 12/5/23
Prior to the sale  
# of shares in account 215
Cost basis per share 84.58
This action  
Shares sold 40
Price per share 95.8355
Total received $3,833.38
Cost basis of shares sold $3,383.20
Profit (loss) $450.18 
After the sale  
Total # of shares remaining 175
Cost basis per share remains at 84.58
---------------------------------------------
Sale of SBUX
Date of Sale 12/28/23
Prior to the sale  
# of shares in account 175
Cost basis per share 84.58
This action  
Shares sold 35
Price per share 95.8101
Total received $3,353.32
Cost basis of shares sold $2,960.30
Profit (loss) $393.02 
After the sale  
Total # of shares remaining 140
Cost basis per share remains at 84.58
----------------------------------------------
Sale of SBUX
Date of Sale 2/29/24
Prior to the sale 
# of shares in account 140
Cost basis per share 84.58
This action 
Shares sold 40
Price per share 94.2809
Total received $3,771.20
Cost basis of shares sold $3,383.20
Profit (loss) $388.00 
After the sale 
Total # of shares remaining 100
Cost basis per share remains at 84.58
</t>
        </r>
      </text>
    </comment>
    <comment ref="HJ103" authorId="0" shapeId="0" xr:uid="{CEB1442E-8CF9-472C-A815-273B6DA4C544}">
      <text>
        <r>
          <rPr>
            <b/>
            <sz val="9"/>
            <color indexed="81"/>
            <rFont val="Tahoma"/>
            <family val="2"/>
          </rPr>
          <t>Rob Squire:</t>
        </r>
        <r>
          <rPr>
            <sz val="9"/>
            <color indexed="81"/>
            <rFont val="Tahoma"/>
            <family val="2"/>
          </rPr>
          <t xml:space="preserve">
Sale of AMZN
Date of Sale 1/31/24
Prior to the sale 
# of shares in account 125
Cost basis per share 132.8074
This action 
Shares sold 10
Price per share 159.9462
Total received $1,599.46
Cost basis of shares sold $1,328.07
Profit (loss) $271.39 
After the sale 
Total # of shares remaining 115
Cost basis per share remains at 132.8074
</t>
        </r>
      </text>
    </comment>
    <comment ref="HN103" authorId="0" shapeId="0" xr:uid="{4E72A89C-E5B3-4D33-B1AE-066072F65FC1}">
      <text>
        <r>
          <rPr>
            <b/>
            <sz val="9"/>
            <color indexed="81"/>
            <rFont val="Tahoma"/>
            <family val="2"/>
          </rPr>
          <t>Rob Squire:</t>
        </r>
        <r>
          <rPr>
            <sz val="9"/>
            <color indexed="81"/>
            <rFont val="Tahoma"/>
            <family val="2"/>
          </rPr>
          <t xml:space="preserve">
Sale of AZO
Date of Sale 1/31/24
Prior to the sale 
# of shares in account 8
Cost basis per share 1164.1974
This action 
Shares sold 1
Price per share 2798.87
Total received $2,798.84
Cost basis of shares sold $1,164.20
Profit (loss) $1,634.64 
After the sale 
Total # of shares remaining 7
Cost basis per share remains at 1164.1974
</t>
        </r>
      </text>
    </comment>
    <comment ref="IB103" authorId="0" shapeId="0" xr:uid="{3B748B9C-2242-4669-8BA3-BB4217FBA02E}">
      <text>
        <r>
          <rPr>
            <b/>
            <sz val="9"/>
            <color indexed="81"/>
            <rFont val="Tahoma"/>
            <family val="2"/>
          </rPr>
          <t>Rob Squire:</t>
        </r>
        <r>
          <rPr>
            <sz val="9"/>
            <color indexed="81"/>
            <rFont val="Tahoma"/>
            <family val="2"/>
          </rPr>
          <t xml:space="preserve">
Purchase of CVX
Date of Purchase 1/31/24
Prior to the sale  
# of shares in account 0
Cost basis per share N/A
This action  
Shares purchased 50
Price per share 147.7148
Total paid $7,385.74
After the purchase  
New total # of shares in account 50
Cost basis per share  147.7148
</t>
        </r>
      </text>
    </comment>
    <comment ref="IE103" authorId="0" shapeId="0" xr:uid="{A07161BC-35D6-4438-8730-20D69DF22A48}">
      <text>
        <r>
          <rPr>
            <b/>
            <sz val="9"/>
            <color indexed="81"/>
            <rFont val="Tahoma"/>
            <family val="2"/>
          </rPr>
          <t>Rob Squire:</t>
        </r>
        <r>
          <rPr>
            <sz val="9"/>
            <color indexed="81"/>
            <rFont val="Tahoma"/>
            <family val="2"/>
          </rPr>
          <t xml:space="preserve">
Sale of EA
Date of Sale 1/31/24
Prior to the sale 
# of shares in account 175
Cost basis per share 121.28
This action 
Shares sold 25
Price per share 138.6
Total received $3,464.97
Cost basis of shares sold $3,032.00
Profit (loss) $432.97 
After the sale 
Total # of shares remaining 150
Cost basis per share remains at 121.28
</t>
        </r>
      </text>
    </comment>
    <comment ref="IL103" authorId="0" shapeId="0" xr:uid="{B14AD36B-35CF-4DD3-9B9E-5E225AE3E822}">
      <text>
        <r>
          <rPr>
            <b/>
            <sz val="9"/>
            <color indexed="81"/>
            <rFont val="Tahoma"/>
            <family val="2"/>
          </rPr>
          <t>Rob Squire:</t>
        </r>
        <r>
          <rPr>
            <sz val="9"/>
            <color indexed="81"/>
            <rFont val="Tahoma"/>
            <family val="2"/>
          </rPr>
          <t xml:space="preserve">
Sale of GEHC
Date of Sale 1/31/24
Prior to the sale  
# of shares in account 300
Cost basis per share 66.4303
This action  
Shares sold 50
Price per share 73.5315
Total received $3,676.55
Cost basis of shares sold $3,321.52
Profit (loss) $355.04 
After the sale  
Total # of shares remaining 250
Cost basis per share remains at 66.4303
</t>
        </r>
      </text>
    </comment>
    <comment ref="IM103" authorId="0" shapeId="0" xr:uid="{5D10BA0D-14BF-4D79-BF4D-8234D016C621}">
      <text>
        <r>
          <rPr>
            <b/>
            <sz val="9"/>
            <color indexed="81"/>
            <rFont val="Tahoma"/>
            <family val="2"/>
          </rPr>
          <t>Rob Squire:</t>
        </r>
        <r>
          <rPr>
            <sz val="9"/>
            <color indexed="81"/>
            <rFont val="Tahoma"/>
            <family val="2"/>
          </rPr>
          <t xml:space="preserve">
Sale of GOOG
Date of Sale 1/31/24
Prior to the sale 
# of shares in account 160
Cost basis per share 89.01
This action 
Shares sold 25
Price per share 153.6812
Total received $3,841.99
Cost basis of shares sold $2,225.25
Profit (loss) $1,616.74 
After the sale 
Total # of shares remaining 135
Cost basis per share remains at 89.01
</t>
        </r>
      </text>
    </comment>
    <comment ref="IP103" authorId="0" shapeId="0" xr:uid="{9DF97435-D704-4FE6-81BD-E4E1F9177EAD}">
      <text>
        <r>
          <rPr>
            <b/>
            <sz val="9"/>
            <color indexed="81"/>
            <rFont val="Tahoma"/>
            <family val="2"/>
          </rPr>
          <t>Rob Squire:</t>
        </r>
        <r>
          <rPr>
            <sz val="9"/>
            <color indexed="81"/>
            <rFont val="Tahoma"/>
            <family val="2"/>
          </rPr>
          <t xml:space="preserve">
Sale of HD
Date of Sale 12/5/23
Prior to the sale  
# of shares in account 75
Cost basis per share 276.29
This action  
Shares sold 20
Price per share 323.77
Total received $6,475.34
Cost basis of shares sold $5,525.80
Profit (loss) $949.54 
After the sale  
Total # of shares remaining 55
Cost basis per share remains at 273.45
</t>
        </r>
      </text>
    </comment>
    <comment ref="IS103" authorId="0" shapeId="0" xr:uid="{19708015-B57A-4E0D-9176-5C0E90419A7A}">
      <text>
        <r>
          <rPr>
            <b/>
            <sz val="9"/>
            <color indexed="81"/>
            <rFont val="Tahoma"/>
            <family val="2"/>
          </rPr>
          <t>Rob Squire:</t>
        </r>
        <r>
          <rPr>
            <sz val="9"/>
            <color indexed="81"/>
            <rFont val="Tahoma"/>
            <family val="2"/>
          </rPr>
          <t xml:space="preserve">
Purchase of IJR
Date of Purchase 1/31/24
Prior to the sale  
# of shares in account 0
Cost basis per share N/A
This action  
Shares purchased 75
Price per share 106.0553
Total paid $7,954.15
After the purchase  
New total # of shares in account 75
Cost basis per share  106.0553
</t>
        </r>
      </text>
    </comment>
    <comment ref="JV103" authorId="0" shapeId="0" xr:uid="{8F859893-E4B8-41B3-94A5-3CA6556159D8}">
      <text>
        <r>
          <rPr>
            <b/>
            <sz val="9"/>
            <color indexed="81"/>
            <rFont val="Tahoma"/>
            <family val="2"/>
          </rPr>
          <t>Rob Squire:</t>
        </r>
        <r>
          <rPr>
            <sz val="9"/>
            <color indexed="81"/>
            <rFont val="Tahoma"/>
            <family val="2"/>
          </rPr>
          <t xml:space="preserve">
Sale of TFC
Date of Sale 12/28/24
Prior to the sale  
# of shares in account 400
Cost basis per share 30.55
This action  
Shares sold 400
Price per share 37.2261
Total received $14,890.32
Cost basis of shares sold $12,220.00
Profit (loss) $2,670.32 
After the sale  
Total # of shares remaining 0
Cost basis per share remains at 0
</t>
        </r>
      </text>
    </comment>
    <comment ref="KN103" authorId="0" shapeId="0" xr:uid="{0BB6AA42-BE32-4F27-9B7B-C19290B88EEC}">
      <text>
        <r>
          <rPr>
            <b/>
            <sz val="9"/>
            <color indexed="81"/>
            <rFont val="Tahoma"/>
            <family val="2"/>
          </rPr>
          <t>Rob Squire:</t>
        </r>
        <r>
          <rPr>
            <sz val="9"/>
            <color indexed="81"/>
            <rFont val="Tahoma"/>
            <family val="2"/>
          </rPr>
          <t xml:space="preserve">
Purchase of VRTX
Date of Purchase 12/28/24
Prior to the sale  
# of shares in account 0
Cost basis per share N/A
This action  
Shares purchased 15
Price per share 409.8606
Total paid $6,147.91
After the purchase  
New total # of shares in account 15
Cost basis per share  409.8606
</t>
        </r>
      </text>
    </comment>
    <comment ref="KQ103" authorId="0" shapeId="0" xr:uid="{D655425D-DC89-4282-B37F-EADA469DF24C}">
      <text>
        <r>
          <rPr>
            <b/>
            <sz val="9"/>
            <color indexed="81"/>
            <rFont val="Tahoma"/>
            <family val="2"/>
          </rPr>
          <t>Rob Squire:</t>
        </r>
        <r>
          <rPr>
            <sz val="9"/>
            <color indexed="81"/>
            <rFont val="Tahoma"/>
            <family val="2"/>
          </rPr>
          <t xml:space="preserve">
Sale of WM
Date of Sale 1/31/24
Prior to the sale  
# of shares in account 130
Cost basis per share 114.4523
This action  
Shares sold 20
Price per share 185.7155
Total received $3,714.28
Cost basis of shares sold $2,289.05
Profit (loss) $1,425.23 
After the sale  
Total # of shares remaining 110
Cost basis per share remains at 114.4523
</t>
        </r>
      </text>
    </comment>
    <comment ref="KS103" authorId="0" shapeId="0" xr:uid="{859874BE-225D-44E8-8903-4FBE08165FDA}">
      <text>
        <r>
          <rPr>
            <b/>
            <sz val="9"/>
            <color indexed="81"/>
            <rFont val="Tahoma"/>
            <family val="2"/>
          </rPr>
          <t>Rob Squire:</t>
        </r>
        <r>
          <rPr>
            <sz val="9"/>
            <color indexed="81"/>
            <rFont val="Tahoma"/>
            <family val="2"/>
          </rPr>
          <t xml:space="preserve">
Purchase of XLF
Date of Purchase 12/28/24
Prior to the sale  
# of shares in account 275
Cost basis per share 27.53
This action  
Shares purchased 125
Price per share 37.76
Total paid $4,720.00
After the purchase  
New total # of shares in account 400
Cost basis per share  30.52
</t>
        </r>
      </text>
    </comment>
    <comment ref="LF103" authorId="0" shapeId="0" xr:uid="{B432977E-9AEF-4527-AEA5-0DFDF5CAABCC}">
      <text>
        <r>
          <rPr>
            <b/>
            <sz val="9"/>
            <color indexed="81"/>
            <rFont val="Tahoma"/>
            <family val="2"/>
          </rPr>
          <t>Rob Squire:</t>
        </r>
        <r>
          <rPr>
            <sz val="9"/>
            <color indexed="81"/>
            <rFont val="Tahoma"/>
            <family val="2"/>
          </rPr>
          <t xml:space="preserve">
Sale of ABBV
Date of Sale 12/4/23
Prior to the sale 
# of shares in account 65
Cost basis per share 117.04
This action 
Shares sold 10
Price per share 144.2101
Total received $1,442.08
Cost basis of shares sold $1,170.40
Profit (loss) $271.68 
After the sale 
Total # of shares remaining 55
Cost basis per share remains at 117.04
</t>
        </r>
      </text>
    </comment>
    <comment ref="LZ103" authorId="0" shapeId="0" xr:uid="{D64FC6AC-341B-4C57-A200-F7049F23EEDE}">
      <text>
        <r>
          <rPr>
            <b/>
            <sz val="9"/>
            <color indexed="81"/>
            <rFont val="Tahoma"/>
            <family val="2"/>
          </rPr>
          <t>Rob Squire:</t>
        </r>
        <r>
          <rPr>
            <sz val="9"/>
            <color indexed="81"/>
            <rFont val="Tahoma"/>
            <family val="2"/>
          </rPr>
          <t xml:space="preserve">
Purchase of ICSH
Date of Purchase 1/4/24
Prior to the sale  
# of shares in account 0
Cost basis per share N/A
This action  
Shares purchased 55
Price per share 50.37
Total paid $2,770.35
After the purchase  
New total # of shares in account 55
Cost basis per share  50.37
</t>
        </r>
      </text>
    </comment>
    <comment ref="MF103" authorId="0" shapeId="0" xr:uid="{BB6EC418-3E3F-4C4B-AEC7-E56134557C35}">
      <text>
        <r>
          <rPr>
            <b/>
            <sz val="9"/>
            <color indexed="81"/>
            <rFont val="Tahoma"/>
            <family val="2"/>
          </rPr>
          <t>Rob Squire:</t>
        </r>
        <r>
          <rPr>
            <sz val="9"/>
            <color indexed="81"/>
            <rFont val="Tahoma"/>
            <family val="2"/>
          </rPr>
          <t xml:space="preserve">
Sale of LH
Date of Sale 12/4/23
Prior to the sale  
# of shares in account 35
Cost basis per share 218.6613
This action  
Shares sold 5
Price per share 221.45
Total received $1,107.24
Cost basis of shares sold $1,093.31
Profit (loss) $13.93 
After the sale  
Total # of shares remaining 30
Cost basis per share remains at 218.6613
</t>
        </r>
      </text>
    </comment>
    <comment ref="MI103" authorId="0" shapeId="0" xr:uid="{3C210B99-FA99-4F57-921E-620F877ED9F3}">
      <text>
        <r>
          <rPr>
            <b/>
            <sz val="9"/>
            <color indexed="81"/>
            <rFont val="Tahoma"/>
            <family val="2"/>
          </rPr>
          <t>Rob Squire:</t>
        </r>
        <r>
          <rPr>
            <sz val="9"/>
            <color indexed="81"/>
            <rFont val="Tahoma"/>
            <family val="2"/>
          </rPr>
          <t xml:space="preserve">
Sale of MBB
Date of Sale 12/4/23
Prior to the sale  
# of shares in account 225
Cost basis per share 108.26
This action  
Shares sold 25
Price per share 91.05
Total received $2,276.23
Cost basis of shares sold $2,706.50
Profit (loss) ($430.27)
After the sale  
Total # of shares remaining 200
Cost basis per share remains at 108.26
</t>
        </r>
      </text>
    </comment>
    <comment ref="MN103" authorId="0" shapeId="0" xr:uid="{C62970D3-0C59-4467-8A79-AB5E7D573AFB}">
      <text>
        <r>
          <rPr>
            <b/>
            <sz val="9"/>
            <color indexed="81"/>
            <rFont val="Tahoma"/>
            <family val="2"/>
          </rPr>
          <t>Rob Squire:</t>
        </r>
        <r>
          <rPr>
            <sz val="9"/>
            <color indexed="81"/>
            <rFont val="Tahoma"/>
            <family val="2"/>
          </rPr>
          <t xml:space="preserve">
Sale of PG
Date of Sale 12/4/23
Prior to the sale  
# of shares in account 65
Cost basis per share 139.46
This action  
Shares sold 10
Price per share 151.76
Total received $1,517.58
Cost basis of shares sold $1,394.60
Profit (loss) $122.98 
After the sale  
Total # of shares remaining 55
Cost basis per share remains at 139.46
</t>
        </r>
      </text>
    </comment>
    <comment ref="MV103" authorId="0" shapeId="0" xr:uid="{0357DDA9-31D8-4274-8773-F1976401752F}">
      <text>
        <r>
          <rPr>
            <b/>
            <sz val="9"/>
            <color indexed="81"/>
            <rFont val="Tahoma"/>
            <family val="2"/>
          </rPr>
          <t>Rob Squire:</t>
        </r>
        <r>
          <rPr>
            <sz val="9"/>
            <color indexed="81"/>
            <rFont val="Tahoma"/>
            <family val="2"/>
          </rPr>
          <t xml:space="preserve">
Sale of SCHR
Date of Sale 12/4/23
Prior to the sale  
# of shares in account 450
Cost basis per share 56.67
This action  
Shares sold 50
Price per share 48.7301
Total received $2,436.49
Cost basis of shares sold $2,833.50
Profit (loss) ($397.01)
After the sale  
Total # of shares remaining 400
Cost basis per share remains at 56.67
</t>
        </r>
      </text>
    </comment>
    <comment ref="NN103" authorId="0" shapeId="0" xr:uid="{BD86F796-D32D-44C5-B8CE-D2965079672E}">
      <text>
        <r>
          <rPr>
            <b/>
            <sz val="9"/>
            <color indexed="81"/>
            <rFont val="Tahoma"/>
            <family val="2"/>
          </rPr>
          <t>Rob Squire:</t>
        </r>
        <r>
          <rPr>
            <sz val="9"/>
            <color indexed="81"/>
            <rFont val="Tahoma"/>
            <family val="2"/>
          </rPr>
          <t xml:space="preserve">
Sale of WM
Date of Sale 12/4/23
Prior to the sale  
# of shares in account 60
Cost basis per share 160.3425
This action  
Shares sold 10
Price per share 173.97
Total received $1,739.68
Cost basis of shares sold $1,603.43
Profit (loss) $136.26 
After the sale  
Total # of shares remaining 50
Cost basis per share remains at 160.3425
</t>
        </r>
      </text>
    </comment>
    <comment ref="E104" authorId="0" shapeId="0" xr:uid="{DCD76F44-6816-4CE3-A994-5F72E8D3DC6B}">
      <text>
        <r>
          <rPr>
            <b/>
            <sz val="9"/>
            <color indexed="81"/>
            <rFont val="Tahoma"/>
            <family val="2"/>
          </rPr>
          <t>Rob Squire:</t>
        </r>
        <r>
          <rPr>
            <sz val="9"/>
            <color indexed="81"/>
            <rFont val="Tahoma"/>
            <family val="2"/>
          </rPr>
          <t xml:space="preserve">
Purchase of FNBGX
Date of Purchase 3/4/24
Prior to the sale 
# of shares in account 0
Cost basis per share N/A
This action 
Shares purchased 2,373.581
Price per share 9.69
Total paid $23,000.00
After the purchase 
New total # of shares in account 2,373.581
Cost basis per share  9.69
</t>
        </r>
      </text>
    </comment>
    <comment ref="L104" authorId="0" shapeId="0" xr:uid="{38DF8CF2-25A2-455C-B008-ED51582AB7BE}">
      <text>
        <r>
          <rPr>
            <b/>
            <sz val="9"/>
            <color indexed="81"/>
            <rFont val="Tahoma"/>
            <family val="2"/>
          </rPr>
          <t>Rob Squire:</t>
        </r>
        <r>
          <rPr>
            <sz val="9"/>
            <color indexed="81"/>
            <rFont val="Tahoma"/>
            <family val="2"/>
          </rPr>
          <t xml:space="preserve">
Sale of JPM
Date of Sale 4/30/24
Prior to the sale 
# of shares in account 100
Cost basis per share 117.29
This action 
Shares sold 30
Price per share 191.9702
Principal amount $5,759.11
Fees $0.05
Total received $5,759.06
Cost basis of shares sold $3,518.70
Profit (loss) $2,240.36 
After the sale 
Total # of shares remaining 70
Cost basis per share remains at 116.46
</t>
        </r>
      </text>
    </comment>
    <comment ref="M104" authorId="0" shapeId="0" xr:uid="{76983C4A-AAD7-4FB9-8048-46F2C37AF405}">
      <text>
        <r>
          <rPr>
            <b/>
            <sz val="9"/>
            <color indexed="81"/>
            <rFont val="Tahoma"/>
            <family val="2"/>
          </rPr>
          <t>Rob Squire:</t>
        </r>
        <r>
          <rPr>
            <sz val="9"/>
            <color indexed="81"/>
            <rFont val="Tahoma"/>
            <family val="2"/>
          </rPr>
          <t xml:space="preserve">
Sale of MSFT
Date of Sale 4/3/2024
Prior to the sale 
# of shares in account 50
Cost basis per share 221.05
This action 
Shares sold 5
Price per share 420.67
Principal amount $2,103.35
Fees $0.07
Total received $2,103.28
Cost basis of shares sold $1,105.25
Profit (loss) $998.03 
After the sale 
Total # of shares remaining 45
Cost basis per share remains at 221.05
</t>
        </r>
      </text>
    </comment>
    <comment ref="V104" authorId="0" shapeId="0" xr:uid="{E2F459ED-C2EC-4E53-BD30-B8CFF77CE271}">
      <text>
        <r>
          <rPr>
            <b/>
            <sz val="9"/>
            <color indexed="81"/>
            <rFont val="Tahoma"/>
            <family val="2"/>
          </rPr>
          <t>Rob Squire:</t>
        </r>
        <r>
          <rPr>
            <sz val="9"/>
            <color indexed="81"/>
            <rFont val="Tahoma"/>
            <family val="2"/>
          </rPr>
          <t xml:space="preserve">
Purchase of VWEHX
Date of Purchase 3/4/24
Prior to the sale 
# of shares in account 0
Cost basis per share N/A
This action 
Shares purchased 5,772.812
Price per share 5.37
Total paid $31,075.00
After the purchase 
New total # of shares in account 5,772.812
Cost basis per share  5.37
</t>
        </r>
      </text>
    </comment>
    <comment ref="W104" authorId="0" shapeId="0" xr:uid="{E5E5A893-5D78-4CCF-9918-E27E9706E8D5}">
      <text>
        <r>
          <rPr>
            <b/>
            <sz val="9"/>
            <color indexed="81"/>
            <rFont val="Tahoma"/>
            <family val="2"/>
          </rPr>
          <t>Rob Squire:</t>
        </r>
        <r>
          <rPr>
            <sz val="9"/>
            <color indexed="81"/>
            <rFont val="Tahoma"/>
            <family val="2"/>
          </rPr>
          <t xml:space="preserve">
Purchase of VWESX
Date of Purchase 3/4/24
Prior to the sale 
# of shares in account 0
Cost basis per share N/A
This action 
Shares purchased 3,964.194
Price per share 7.82
Total paid $31,075.00
After the purchase 
New total # of shares in account 3,964.194
Cost basis per share  7.82
</t>
        </r>
      </text>
    </comment>
    <comment ref="AH104" authorId="0" shapeId="0" xr:uid="{AEF90EF5-72AA-42A3-9A5F-7465F929DE98}">
      <text>
        <r>
          <rPr>
            <b/>
            <sz val="9"/>
            <color indexed="81"/>
            <rFont val="Tahoma"/>
            <family val="2"/>
          </rPr>
          <t>Rob Squire:</t>
        </r>
        <r>
          <rPr>
            <sz val="9"/>
            <color indexed="81"/>
            <rFont val="Tahoma"/>
            <family val="2"/>
          </rPr>
          <t xml:space="preserve">
Purchase of AAPL
Date of Purchase 3/21/24
Prior to the sale 
# of shares in account 0
Cost basis per share N/A
This action 
Shares purchased 100
Price per share 175.0567
Principal amount $17,505.67
Fees $0.00
Total paid $17,505.67
After the purchase 
New total # of shares in account 100
Cost basis per share  175.0567
</t>
        </r>
      </text>
    </comment>
    <comment ref="AJ104" authorId="0" shapeId="0" xr:uid="{560300A5-A870-49A9-A9F2-F11397C65FD2}">
      <text>
        <r>
          <rPr>
            <b/>
            <sz val="9"/>
            <color indexed="81"/>
            <rFont val="Tahoma"/>
            <family val="2"/>
          </rPr>
          <t>Rob Squire:</t>
        </r>
        <r>
          <rPr>
            <sz val="9"/>
            <color indexed="81"/>
            <rFont val="Tahoma"/>
            <family val="2"/>
          </rPr>
          <t xml:space="preserve">
Sale of AMZN
Date of Sale 3/21/24
Prior to the sale 
# of shares in account 115
Cost basis per share 132.8074
This action 
Shares sold 35
Price per share 179.3982
Principal amount $6,278.94
Fees $0.06
Total received $6,278.88
Cost basis of shares sold $4,648.26
Profit (loss) $1,630.62 
After the sale 
Total # of shares remaining 80
Cost basis per share remains at 132.8074
</t>
        </r>
      </text>
    </comment>
    <comment ref="AK104" authorId="0" shapeId="0" xr:uid="{385E7201-4707-4268-ACE5-87AE4D654F46}">
      <text>
        <r>
          <rPr>
            <b/>
            <sz val="9"/>
            <color indexed="81"/>
            <rFont val="Tahoma"/>
            <family val="2"/>
          </rPr>
          <t>Rob Squire:</t>
        </r>
        <r>
          <rPr>
            <sz val="9"/>
            <color indexed="81"/>
            <rFont val="Tahoma"/>
            <family val="2"/>
          </rPr>
          <t xml:space="preserve">
Purchase of AXP
Date of Purchase 3/21/24
Prior to the sale 
# of shares in account 0
Cost basis per share N/A
This action 
Shares purchased 70
Price per share 230.4067
Principal amount $16,128.47
Fees $0.00
Total paid $16,128.47
After the purchase 
New total # of shares in account 70
Cost basis per share  230.4067
</t>
        </r>
      </text>
    </comment>
    <comment ref="BJ104" authorId="0" shapeId="0" xr:uid="{2FD03B02-515E-4E15-88FD-890E6E9F5409}">
      <text>
        <r>
          <rPr>
            <b/>
            <sz val="9"/>
            <color indexed="81"/>
            <rFont val="Tahoma"/>
            <family val="2"/>
          </rPr>
          <t>Rob Squire:</t>
        </r>
        <r>
          <rPr>
            <sz val="9"/>
            <color indexed="81"/>
            <rFont val="Tahoma"/>
            <family val="2"/>
          </rPr>
          <t xml:space="preserve">
Sale of HD
Date of Sale 3/27/24
Prior to the sale 
# of shares in account 55
Cost basis per share 273.45
This action 
Shares sold 10
Price per share 384.785
Principal amount $3,847.85
Fees $0.04
Total received $3,847.81
Cost basis of shares sold $2,734.50
Profit (loss) $1,113.31 
After the sale 
Total # of shares remaining 45
Cost basis per share remains at 273.45
</t>
        </r>
      </text>
    </comment>
    <comment ref="CM104" authorId="0" shapeId="0" xr:uid="{A5CCD90C-80C7-4025-90E8-C6C28C2C29A8}">
      <text>
        <r>
          <rPr>
            <b/>
            <sz val="9"/>
            <color indexed="81"/>
            <rFont val="Tahoma"/>
            <family val="2"/>
          </rPr>
          <t>Rob Squire:</t>
        </r>
        <r>
          <rPr>
            <sz val="9"/>
            <color indexed="81"/>
            <rFont val="Tahoma"/>
            <family val="2"/>
          </rPr>
          <t xml:space="preserve">
Purchase of VEA
Date of Purchase 4/2/24
Prior to the sale 
# of shares in account 225
Cost basis per share 51.59
This action 
Shares purchased 25
Price per share 49.6097
Principal amount $1,240.24
Fees $0.00
Total paid $1,240.24
After the purchase 
New total # of shares in account 250
Cost basis per share  51.39
</t>
        </r>
      </text>
    </comment>
    <comment ref="CS104" authorId="0" shapeId="0" xr:uid="{647BE4F9-E58C-49CC-84BE-D645A29F244A}">
      <text>
        <r>
          <rPr>
            <b/>
            <sz val="9"/>
            <color indexed="81"/>
            <rFont val="Tahoma"/>
            <family val="2"/>
          </rPr>
          <t>Rob Squire:</t>
        </r>
        <r>
          <rPr>
            <sz val="9"/>
            <color indexed="81"/>
            <rFont val="Tahoma"/>
            <family val="2"/>
          </rPr>
          <t xml:space="preserve">
Purchase of VRTX
Date of Purchase 3/27/24
Prior to the sale 
# of shares in account 15
Cost basis per share 409.8606
This action 
Shares purchased 15
Price per share 416.74
Principal amount $6,251.10
Fees $0.00
Total paid $6,251.10
After the purchase 
New total # of shares in account 30
Cost basis per share  413.30
</t>
        </r>
      </text>
    </comment>
    <comment ref="DG104" authorId="0" shapeId="0" xr:uid="{CAD80B16-DABA-4AFD-8B67-AC2969738F2B}">
      <text>
        <r>
          <rPr>
            <b/>
            <sz val="9"/>
            <color indexed="81"/>
            <rFont val="Tahoma"/>
            <family val="2"/>
          </rPr>
          <t>Rob Squire:</t>
        </r>
        <r>
          <rPr>
            <sz val="9"/>
            <color indexed="81"/>
            <rFont val="Tahoma"/>
            <family val="2"/>
          </rPr>
          <t xml:space="preserve">
Purchase of FBND
Date of Purchase 3/14/24
Prior to the sale  
# of shares in account 0
Cost basis per share N/A
This action  
Shares purchased 200
Price per share 45.1152
Principal amount $9,023.04
Fees $0.00
Total paid $9,023.04
After the purchase  
New total # of shares in account 200
Cost basis per share  45.1152
</t>
        </r>
      </text>
    </comment>
    <comment ref="DH104" authorId="0" shapeId="0" xr:uid="{CC44632D-F9E1-4C8D-9121-00B2DD7BB6C0}">
      <text>
        <r>
          <rPr>
            <b/>
            <sz val="9"/>
            <color indexed="81"/>
            <rFont val="Tahoma"/>
            <family val="2"/>
          </rPr>
          <t>Rob Squire:</t>
        </r>
        <r>
          <rPr>
            <sz val="9"/>
            <color indexed="81"/>
            <rFont val="Tahoma"/>
            <family val="2"/>
          </rPr>
          <t xml:space="preserve">
Purchase of FNBGX
Date of Purchase 3/4/24
Prior to the sale 
# of shares in account 0
Cost basis per share N/A
This action 
Shares purchased 2,579.979
Price per share 9.69
Total paid $25,000.00
After the purchase 
New total # of shares in account 2,579.979
Cost basis per share  9.69
</t>
        </r>
      </text>
    </comment>
    <comment ref="FY104" authorId="0" shapeId="0" xr:uid="{50FF22A5-2E1F-40F6-A622-488357B47450}">
      <text>
        <r>
          <rPr>
            <b/>
            <sz val="9"/>
            <color indexed="81"/>
            <rFont val="Tahoma"/>
            <family val="2"/>
          </rPr>
          <t>Rob Squire:</t>
        </r>
        <r>
          <rPr>
            <sz val="9"/>
            <color indexed="81"/>
            <rFont val="Tahoma"/>
            <family val="2"/>
          </rPr>
          <t xml:space="preserve">
Sale of JPM
Date of Sale 4/30/24
Prior to the sale 
# of shares in account 100
Cost basis per share 117.29
This action 
Shares sold 30
Price per share 191.9702
Principal amount $5,759.11
Fees $0.05
Total received $5,759.06
Cost basis of shares sold $3,518.70
Profit (loss) $2,240.36 
After the sale 
Total # of shares remaining 70
Cost basis per share remains at 116.46
</t>
        </r>
      </text>
    </comment>
    <comment ref="GD104" authorId="0" shapeId="0" xr:uid="{7350C97F-1C3B-46A0-AED5-BEA32280A59F}">
      <text>
        <r>
          <rPr>
            <b/>
            <sz val="9"/>
            <color indexed="81"/>
            <rFont val="Tahoma"/>
            <family val="2"/>
          </rPr>
          <t>Rob Squire:</t>
        </r>
        <r>
          <rPr>
            <sz val="9"/>
            <color indexed="81"/>
            <rFont val="Tahoma"/>
            <family val="2"/>
          </rPr>
          <t xml:space="preserve">
Sale of MSFT
Date of Sale 4/3/2024
Prior to the sale 
# of shares in account 50
Cost basis per share 221.05
This action 
Shares sold 5
Price per share 420.67
Principal amount $2,103.35
Fees $0.07
Total received $2,103.28
Cost basis of shares sold $1,105.25
Profit (loss) $998.03 
After the sale 
Total # of shares remaining 45
Cost basis per share remains at 221.05
</t>
        </r>
      </text>
    </comment>
    <comment ref="GI104" authorId="0" shapeId="0" xr:uid="{2750B146-0A09-4A04-8704-80FEEFC5FA79}">
      <text>
        <r>
          <rPr>
            <b/>
            <sz val="9"/>
            <color indexed="81"/>
            <rFont val="Tahoma"/>
            <family val="2"/>
          </rPr>
          <t>Rob Squire:</t>
        </r>
        <r>
          <rPr>
            <sz val="9"/>
            <color indexed="81"/>
            <rFont val="Tahoma"/>
            <family val="2"/>
          </rPr>
          <t xml:space="preserve">
Sale of PG
Date of Sale 3/28/24
Prior to the sale 
# of shares in account 105
Cost basis per share 149.79
This action 
Shares sold 25
Price per share 162.334
Principal amount $4,058.35
Fees $0.07
Total received $4,058.28
Cost basis of shares sold $3,744.75
Profit (loss) $313.53 
After the sale 
Total # of shares remaining 80
Cost basis per share remains at 149.77
</t>
        </r>
      </text>
    </comment>
    <comment ref="GL104" authorId="0" shapeId="0" xr:uid="{A5234244-0D1D-4ADC-9CEF-4E3311B8DA65}">
      <text>
        <r>
          <rPr>
            <b/>
            <sz val="9"/>
            <color indexed="81"/>
            <rFont val="Tahoma"/>
            <family val="2"/>
          </rPr>
          <t>Rob Squire:</t>
        </r>
        <r>
          <rPr>
            <sz val="9"/>
            <color indexed="81"/>
            <rFont val="Tahoma"/>
            <family val="2"/>
          </rPr>
          <t xml:space="preserve">
Sale of RHBBY
Date of Sale 3/28/24
Prior to the sale 
# of shares in account 150
Cost basis per share 36.1467
This action 
Shares sold 150
Price per share 31.3421
Principal amount $4,701.32
Fees $0.04
Total received $4,701.28
Cost basis of shares sold $5,422.01
Profit (loss) ($720.73)
After the sale 
Total # of shares remaining 0
Cost basis per share remains at 0
</t>
        </r>
      </text>
    </comment>
    <comment ref="GM104" authorId="0" shapeId="0" xr:uid="{7EF15829-4E3E-4291-B9FD-A13CEEEEB4C3}">
      <text>
        <r>
          <rPr>
            <b/>
            <sz val="9"/>
            <color indexed="81"/>
            <rFont val="Tahoma"/>
            <family val="2"/>
          </rPr>
          <t>Rob Squire:</t>
        </r>
        <r>
          <rPr>
            <sz val="9"/>
            <color indexed="81"/>
            <rFont val="Tahoma"/>
            <family val="2"/>
          </rPr>
          <t xml:space="preserve">
Purchase of SBUX
Date of Purchase 3/28/24
Prior to the sale 
# of shares in account 100
Cost basis per share 84.58
This action 
Shares purchased 75
Price per share 91.325
Principal amount $6,849.38
Fees $0.00
Total paid $6,849.38
After the purchase 
New total # of shares in account 175
Cost basis per share  87.47
</t>
        </r>
      </text>
    </comment>
    <comment ref="HH104" authorId="0" shapeId="0" xr:uid="{83642972-8B8B-4C01-A2D0-14B0339C453A}">
      <text>
        <r>
          <rPr>
            <b/>
            <sz val="9"/>
            <color indexed="81"/>
            <rFont val="Tahoma"/>
            <family val="2"/>
          </rPr>
          <t>Rob Squire:</t>
        </r>
        <r>
          <rPr>
            <sz val="9"/>
            <color indexed="81"/>
            <rFont val="Tahoma"/>
            <family val="2"/>
          </rPr>
          <t xml:space="preserve">
Purchase of AAPL
Date of Purchase 3/21/24
Prior to the sale 
# of shares in account 0
Cost basis per share N/A
This action 
Shares purchased 100
Price per share 175.0567
Principal amount $17,505.67
Fees $0.00
Total paid $17,505.67
After the purchase 
New total # of shares in account 100
Cost basis per share  175.0567
</t>
        </r>
      </text>
    </comment>
    <comment ref="HJ104" authorId="0" shapeId="0" xr:uid="{C753FD3A-9756-4C12-AA87-84CF8A63159E}">
      <text>
        <r>
          <rPr>
            <b/>
            <sz val="9"/>
            <color indexed="81"/>
            <rFont val="Tahoma"/>
            <family val="2"/>
          </rPr>
          <t>Rob Squire:</t>
        </r>
        <r>
          <rPr>
            <sz val="9"/>
            <color indexed="81"/>
            <rFont val="Tahoma"/>
            <family val="2"/>
          </rPr>
          <t xml:space="preserve">
Sale of AMZN
Date of Sale 3/21/24
Prior to the sale 
# of shares in account 115
Cost basis per share 132.8074
This action 
Shares sold 35
Price per share 179.3982
Principal amount $6,278.94
Fees $0.06
Total received $6,278.88
Cost basis of shares sold $4,648.26
Profit (loss) $1,630.62 
After the sale 
Total # of shares remaining 80
Cost basis per share remains at 132.8074
</t>
        </r>
      </text>
    </comment>
    <comment ref="HM104" authorId="0" shapeId="0" xr:uid="{3C245AA6-C574-45F9-B947-74FD7564EC38}">
      <text>
        <r>
          <rPr>
            <b/>
            <sz val="9"/>
            <color indexed="81"/>
            <rFont val="Tahoma"/>
            <family val="2"/>
          </rPr>
          <t>Rob Squire:</t>
        </r>
        <r>
          <rPr>
            <sz val="9"/>
            <color indexed="81"/>
            <rFont val="Tahoma"/>
            <family val="2"/>
          </rPr>
          <t xml:space="preserve">
Purchase of AXP
Date of Purchase 3/21/24
Prior to the sale 
# of shares in account 0
Cost basis per share N/A
This action 
Shares purchased 70
Price per share 230.4067
Principal amount $16,128.47
Fees $0.00
Total paid $16,128.47
After the purchase 
New total # of shares in account 70
Cost basis per share  230.4067
</t>
        </r>
      </text>
    </comment>
    <comment ref="HV104" authorId="0" shapeId="0" xr:uid="{52E20019-4F5A-4B13-877C-580FC8059A43}">
      <text>
        <r>
          <rPr>
            <b/>
            <sz val="9"/>
            <color indexed="81"/>
            <rFont val="Tahoma"/>
            <family val="2"/>
          </rPr>
          <t>Rob Squire:</t>
        </r>
        <r>
          <rPr>
            <sz val="9"/>
            <color indexed="81"/>
            <rFont val="Tahoma"/>
            <family val="2"/>
          </rPr>
          <t xml:space="preserve">
</t>
        </r>
      </text>
    </comment>
    <comment ref="HY104" authorId="0" shapeId="0" xr:uid="{26BAE3AD-987F-4455-80A8-30C08944683F}">
      <text>
        <r>
          <rPr>
            <b/>
            <sz val="9"/>
            <color indexed="81"/>
            <rFont val="Tahoma"/>
            <family val="2"/>
          </rPr>
          <t>Rob Squire:</t>
        </r>
        <r>
          <rPr>
            <sz val="9"/>
            <color indexed="81"/>
            <rFont val="Tahoma"/>
            <family val="2"/>
          </rPr>
          <t xml:space="preserve">
Purchase of CPRT
Date of Purchase 3/21/24
Prior to the sale 
# of shares in account 100
Cost basis per share 89.9798
This action 
Shares purchased 75
Price per share 57.4278
Principal amount $4,307.09
Fees $0.00
Total paid $4,307.09
After the purchase 
New total # of shares in account 275
Cost basis per share  Enter basis
</t>
        </r>
      </text>
    </comment>
    <comment ref="HZ104" authorId="0" shapeId="0" xr:uid="{A47AF53A-D995-4DF3-A16E-78DDB4FA1A4F}">
      <text>
        <r>
          <rPr>
            <b/>
            <sz val="9"/>
            <color indexed="81"/>
            <rFont val="Tahoma"/>
            <family val="2"/>
          </rPr>
          <t>Rob Squire:</t>
        </r>
        <r>
          <rPr>
            <sz val="9"/>
            <color indexed="81"/>
            <rFont val="Tahoma"/>
            <family val="2"/>
          </rPr>
          <t xml:space="preserve">
Sale of CSCO
Date of Sale 3/21/24
Prior to the sale 
# of shares in account 430
Cost basis per share 38.6726
This action 
Shares sold 430
Price per share 49.9816
Principal amount $21,492.09
Fees $0.18
Total received $21,491.91
Cost basis of shares sold $16,629.22
Profit (loss) $4,862.69 
After the sale 
Total # of shares remaining 0
Cost basis per share remains at 0</t>
        </r>
      </text>
    </comment>
    <comment ref="IL104" authorId="0" shapeId="0" xr:uid="{BF342CA0-C39F-4584-ABAF-F9CA97CF585F}">
      <text>
        <r>
          <rPr>
            <b/>
            <sz val="9"/>
            <color indexed="81"/>
            <rFont val="Tahoma"/>
            <family val="2"/>
          </rPr>
          <t>Rob Squire:</t>
        </r>
        <r>
          <rPr>
            <sz val="9"/>
            <color indexed="81"/>
            <rFont val="Tahoma"/>
            <family val="2"/>
          </rPr>
          <t xml:space="preserve">
Sale of GEHC
Date of Sale 3/21/24
Prior to the sale 
# of shares in account 250
Cost basis per share 66.4303
This action 
Shares sold 90
Price per share 91.6476
Principal amount $8,248.28
Fees $0.07
Total received $8,248.21
Cost basis of shares sold $5,978.73
Profit (loss) $2,269.49 
After the sale 
Total # of shares remaining 160
Cost basis per share remains at 66.4303
</t>
        </r>
      </text>
    </comment>
    <comment ref="IP104" authorId="0" shapeId="0" xr:uid="{4A922C81-B2FE-4422-8FEF-98BF204CDE13}">
      <text>
        <r>
          <rPr>
            <b/>
            <sz val="9"/>
            <color indexed="81"/>
            <rFont val="Tahoma"/>
            <family val="2"/>
          </rPr>
          <t>Rob Squire:</t>
        </r>
        <r>
          <rPr>
            <sz val="9"/>
            <color indexed="81"/>
            <rFont val="Tahoma"/>
            <family val="2"/>
          </rPr>
          <t xml:space="preserve">
Sale of HD
Date of Sale 3/27/24
Prior to the sale 
# of shares in account 55
Cost basis per share 273.45
This action 
Shares sold 10
Price per share 384.785
Principal amount $3,847.85
Fees $0.04
Total received $3,847.81
Cost basis of shares sold $2,734.50
Profit (loss) $1,113.31 
After the sale 
Total # of shares remaining 45
Cost basis per share remains at 273.45
</t>
        </r>
      </text>
    </comment>
    <comment ref="JK104" authorId="0" shapeId="0" xr:uid="{EC7F3E64-E47A-4460-8A20-B4086F3FCB7D}">
      <text>
        <r>
          <rPr>
            <b/>
            <sz val="9"/>
            <color indexed="81"/>
            <rFont val="Tahoma"/>
            <family val="2"/>
          </rPr>
          <t>Rob Squire:</t>
        </r>
        <r>
          <rPr>
            <sz val="9"/>
            <color indexed="81"/>
            <rFont val="Tahoma"/>
            <family val="2"/>
          </rPr>
          <t xml:space="preserve">
Sale of MMM
Date of Sale 3/12/24
Prior to the sale 
# of shares in account 140
Cost basis per share 166.72
This action 
Shares sold 140
Price per share 99.0409
Principal amount $13,865.73
Fees $0.12
Total received $13,865.61
Cost basis of shares sold $23,340.80
Profit (loss) ($9,475.19)
After the sale 
Total # of shares remaining 0
Cost basis per share remains at 0
</t>
        </r>
      </text>
    </comment>
    <comment ref="JM104" authorId="0" shapeId="0" xr:uid="{7BA030A3-8262-44B4-BA9E-5D3FB0FC286A}">
      <text>
        <r>
          <rPr>
            <b/>
            <sz val="9"/>
            <color indexed="81"/>
            <rFont val="Tahoma"/>
            <family val="2"/>
          </rPr>
          <t>Rob Squire:</t>
        </r>
        <r>
          <rPr>
            <sz val="9"/>
            <color indexed="81"/>
            <rFont val="Tahoma"/>
            <family val="2"/>
          </rPr>
          <t xml:space="preserve">
Purchase of MTCH
Date of Purchase 3/21/24
Prior to the sale 
# of shares in account 0
Cost basis per share N/A
This action 
Shares purchased 375
Price per share 35.8195
Principal amount $13,432.31
Fees $0.00
Total paid $13,432.31
After the purchase 
New total # of shares in account 375
Cost basis per share  35.8195
</t>
        </r>
      </text>
    </comment>
    <comment ref="KN104" authorId="0" shapeId="0" xr:uid="{D10F9080-BA1E-4FAB-9034-28C79C2B1896}">
      <text>
        <r>
          <rPr>
            <b/>
            <sz val="9"/>
            <color indexed="81"/>
            <rFont val="Tahoma"/>
            <family val="2"/>
          </rPr>
          <t>Rob Squire:</t>
        </r>
        <r>
          <rPr>
            <sz val="9"/>
            <color indexed="81"/>
            <rFont val="Tahoma"/>
            <family val="2"/>
          </rPr>
          <t xml:space="preserve">
Purchase of VRTX
Date of Purchase 3/27/24
Prior to the sale 
# of shares in account 15
Cost basis per share 409.8606
This action 
Shares purchased 15
Price per share 416.74
Principal amount $6,251.10
Fees $0.00
Total paid $6,251.10
After the purchase 
New total # of shares in account 30
Cost basis per share  413.30
</t>
        </r>
      </text>
    </comment>
    <comment ref="KS104" authorId="0" shapeId="0" xr:uid="{3F345FF6-72BA-494C-B68C-3F1316464238}">
      <text>
        <r>
          <rPr>
            <b/>
            <sz val="9"/>
            <color indexed="81"/>
            <rFont val="Tahoma"/>
            <family val="2"/>
          </rPr>
          <t>Rob Squire:</t>
        </r>
        <r>
          <rPr>
            <sz val="9"/>
            <color indexed="81"/>
            <rFont val="Tahoma"/>
            <family val="2"/>
          </rPr>
          <t xml:space="preserve">
Sale of XLF
Date of Sale 3/21/24
Prior to the sale 
# of shares in account 400
Cost basis per share 30.52
This action 
Shares sold 400
Price per share 41.8411
Principal amount $16,736.44
Fees $0.14
Total received $16,736.30
Cost basis of shares sold $12,208.00
Profit (loss) $4,528.30 
After the sale 
Total # of shares remaining 0
Cost basis per share remains at 0
</t>
        </r>
      </text>
    </comment>
    <comment ref="LT104" authorId="0" shapeId="0" xr:uid="{1B317CD4-8267-4F4F-91DE-5EF45EC8EBE0}">
      <text>
        <r>
          <rPr>
            <b/>
            <sz val="9"/>
            <color indexed="81"/>
            <rFont val="Tahoma"/>
            <family val="2"/>
          </rPr>
          <t>Rob Squire:</t>
        </r>
        <r>
          <rPr>
            <sz val="9"/>
            <color indexed="81"/>
            <rFont val="Tahoma"/>
            <family val="2"/>
          </rPr>
          <t xml:space="preserve">
Purchase of FBND
Date of Purchase 3/14/24
Prior to the sale  
# of shares in account 0
Cost basis per share N/A
This action  
Shares purchased 200
Price per share 45.1152
Principal amount $9,023.04
Fees $0.00
Total paid $9,023.04
After the purchase  
New total # of shares in account 200
Cost basis per share  45.1152
</t>
        </r>
      </text>
    </comment>
    <comment ref="MW104" authorId="0" shapeId="0" xr:uid="{7D12C727-DACC-42C5-8E23-526F36C7587C}">
      <text>
        <r>
          <rPr>
            <b/>
            <sz val="9"/>
            <color indexed="81"/>
            <rFont val="Tahoma"/>
            <family val="2"/>
          </rPr>
          <t>Rob Squire:</t>
        </r>
        <r>
          <rPr>
            <sz val="9"/>
            <color indexed="81"/>
            <rFont val="Tahoma"/>
            <family val="2"/>
          </rPr>
          <t xml:space="preserve">
Sale of SHYG
Date of Sale 3/14/24
Prior to the sale 
# of shares in account 200
Cost basis per share 45.69
This action 
Shares sold 200
Price per share 42.3291
Principal amount $8,465.82
Fees $0.07
Total received $8,465.75
Cost basis of shares sold $9,138.00
Profit (loss) ($672.25)
After the sale 
Total # of shares remaining 0
Cost basis per share remains at 0
</t>
        </r>
      </text>
    </comment>
    <comment ref="NG104" authorId="0" shapeId="0" xr:uid="{F87B10D0-BBBF-49FB-B12D-A80C94C657D3}">
      <text>
        <r>
          <rPr>
            <b/>
            <sz val="9"/>
            <color indexed="81"/>
            <rFont val="Tahoma"/>
            <family val="2"/>
          </rPr>
          <t>Rob Squire:</t>
        </r>
        <r>
          <rPr>
            <sz val="9"/>
            <color indexed="81"/>
            <rFont val="Tahoma"/>
            <family val="2"/>
          </rPr>
          <t xml:space="preserve">
Purchase of VEA
Date of Purchase 4/2/24
Prior to the sale 
# of shares in account 225
Cost basis per share 51.59
This action 
Shares purchased 25
Price per share 49.6097
Principal amount $1,240.24
Fees $0.00
Total paid $1,240.24
After the purchase 
New total # of shares in account 250
Cost basis per share  51.39
</t>
        </r>
      </text>
    </comment>
    <comment ref="OO104" authorId="0" shapeId="0" xr:uid="{3534DE7E-93AA-4A5A-B725-91B0CD1AAB1F}">
      <text>
        <r>
          <rPr>
            <b/>
            <sz val="9"/>
            <color indexed="81"/>
            <rFont val="Tahoma"/>
            <family val="2"/>
          </rPr>
          <t>Rob Squire:</t>
        </r>
        <r>
          <rPr>
            <sz val="9"/>
            <color indexed="81"/>
            <rFont val="Tahoma"/>
            <family val="2"/>
          </rPr>
          <t xml:space="preserve">
Purchase of FNBGX
Date of Purchase 3/4/24
Prior to the sale 
# of shares in account 0
Cost basis per share N/A
This action 
Shares purchased 1,547.988
Price per share 9.69
Total paid $15,000.00
After the purchase 
New total # of shares in account 1,547.988
Cost basis per share  9.69
</t>
        </r>
      </text>
    </comment>
    <comment ref="J105" authorId="0" shapeId="0" xr:uid="{692A088F-3CA5-40CD-A191-1DD7C58CB3CB}">
      <text>
        <r>
          <rPr>
            <b/>
            <sz val="9"/>
            <color indexed="81"/>
            <rFont val="Tahoma"/>
            <family val="2"/>
          </rPr>
          <t>Rob Squire:</t>
        </r>
        <r>
          <rPr>
            <sz val="9"/>
            <color indexed="81"/>
            <rFont val="Tahoma"/>
            <family val="2"/>
          </rPr>
          <t xml:space="preserve">
Sale of IEMG
Date of Sale 6/6/24
Prior to the sale  
# of shares in account 400
Cost basis per share 46.7154
This action  
Shares sold 200
Price per share 53.4799
Principal amount $10,695.98
Fees $0.30
Total received $10,695.68
Cost basis of shares sold $9,343.08
Profit (loss) $1,352.60 
After the sale  
Total # of shares remaining 200
Cost basis per share remains at 46.7154
</t>
        </r>
      </text>
    </comment>
    <comment ref="M105" authorId="0" shapeId="0" xr:uid="{5FFBB952-C7FA-46A9-8155-B79C68F315AB}">
      <text>
        <r>
          <rPr>
            <b/>
            <sz val="9"/>
            <color indexed="81"/>
            <rFont val="Tahoma"/>
            <family val="2"/>
          </rPr>
          <t>Rob Squire:</t>
        </r>
        <r>
          <rPr>
            <sz val="9"/>
            <color indexed="81"/>
            <rFont val="Tahoma"/>
            <family val="2"/>
          </rPr>
          <t xml:space="preserve">
Sale of MSFT
Date of Sale 6/28/24
Prior to the sale  
# of shares in account 45
Cost basis per share 221.05
This action  
Shares sold 5
Price per share 451.244
Principal amount $2,256.22
Fees $0.07
Total received $2,256.15
Cost basis of shares sold $1,105.25
Profit (loss) $1,150.90 
After the sale  
Total # of shares remaining 40
Cost basis per share remains at 221.05
</t>
        </r>
      </text>
    </comment>
    <comment ref="Q105" authorId="0" shapeId="0" xr:uid="{524DB68D-EF1E-499C-8DF7-CCD322C9FAE9}">
      <text>
        <r>
          <rPr>
            <b/>
            <sz val="9"/>
            <color indexed="81"/>
            <rFont val="Tahoma"/>
            <family val="2"/>
          </rPr>
          <t>Rob Squire:</t>
        </r>
        <r>
          <rPr>
            <sz val="9"/>
            <color indexed="81"/>
            <rFont val="Tahoma"/>
            <family val="2"/>
          </rPr>
          <t xml:space="preserve">
Purchase of TSM
Date of Purchase 6/6/24
Prior to the sale  
# of shares in account 0
Cost basis per share N/A
This action  
Shares purchased 40
Price per share 162.3498
Principal amount $6,493.99
Fees $0.00
Total paid $6,493.99
After the purchase  
New total # of shares in account 40
Cost basis per share  162.3498
</t>
        </r>
      </text>
    </comment>
    <comment ref="T105" authorId="0" shapeId="0" xr:uid="{DDAACD73-B620-459A-AF31-267C6A767B01}">
      <text>
        <r>
          <rPr>
            <b/>
            <sz val="9"/>
            <color indexed="81"/>
            <rFont val="Tahoma"/>
            <family val="2"/>
          </rPr>
          <t>Rob Squire:</t>
        </r>
        <r>
          <rPr>
            <sz val="9"/>
            <color indexed="81"/>
            <rFont val="Tahoma"/>
            <family val="2"/>
          </rPr>
          <t xml:space="preserve">
Purchase of VSS
Date of Purchase 5/8/24
Prior to the sale  
# of shares in account 100
Cost basis per share 104.24
This action  
Shares purchased 30
Price per share 117.6544
Principal amount $3,529.63
Fees $0.00
Total paid $3,529.63
After the purchase  
New total # of shares in account 130
Cost basis per share  107.33
</t>
        </r>
      </text>
    </comment>
    <comment ref="BM105" authorId="0" shapeId="0" xr:uid="{D118C24E-FAD7-4D33-81F6-85A2831781FF}">
      <text>
        <r>
          <rPr>
            <b/>
            <sz val="9"/>
            <color indexed="81"/>
            <rFont val="Tahoma"/>
            <family val="2"/>
          </rPr>
          <t>Rob Squire:</t>
        </r>
        <r>
          <rPr>
            <sz val="9"/>
            <color indexed="81"/>
            <rFont val="Tahoma"/>
            <family val="2"/>
          </rPr>
          <t xml:space="preserve">
Purchase of IJH
Date of Purchase 5/31/24
Prior to the sale  
# of shares in account 0
Cost basis per share N/A
This action  
Shares purchased 250
Price per share 59.1096
Principal amount $14,777.40
Fees $0.00
Total paid $14,777.40
After the purchase  
New total # of shares in account 250
Cost basis per share  45.07
</t>
        </r>
      </text>
    </comment>
    <comment ref="CM105" authorId="0" shapeId="0" xr:uid="{AA54FC2E-32FB-480A-898D-9E31690A311F}">
      <text>
        <r>
          <rPr>
            <b/>
            <sz val="9"/>
            <color indexed="81"/>
            <rFont val="Tahoma"/>
            <family val="2"/>
          </rPr>
          <t>Rob Squire:</t>
        </r>
        <r>
          <rPr>
            <sz val="9"/>
            <color indexed="81"/>
            <rFont val="Tahoma"/>
            <family val="2"/>
          </rPr>
          <t xml:space="preserve">
Purchase of VEA
Date of Purchase 6/14/24
Prior to the sale  
# of shares in account 250
Cost basis per share 51.39
This action  
Shares purchased 25
Price per share 49.945
Principal amount $1,248.63
Fees $0.00
Total paid $1,248.63
After the purchase  
New total # of shares in account 275
Cost basis per share  51.26
</t>
        </r>
      </text>
    </comment>
    <comment ref="CV105" authorId="0" shapeId="0" xr:uid="{FB268065-A95C-4D75-9973-2E03463916AD}">
      <text>
        <r>
          <rPr>
            <b/>
            <sz val="9"/>
            <color indexed="81"/>
            <rFont val="Tahoma"/>
            <family val="2"/>
          </rPr>
          <t>Rob Squire:</t>
        </r>
        <r>
          <rPr>
            <sz val="9"/>
            <color indexed="81"/>
            <rFont val="Tahoma"/>
            <family val="2"/>
          </rPr>
          <t xml:space="preserve">
Sale of WM
Date of Sale 6/6/24
Prior to the sale  
# of shares in account 110
Cost basis per share 114.4523
This action  
Shares sold 40
Price per share 202.555
Principal amount $8,102.20
Fees $0.23
Total received $8,101.97
Cost basis of shares sold $4,578.09
Profit (loss) $3,523.88 
After the sale  
Total # of shares remaining 70
Cost basis per share remains at 114.4523
</t>
        </r>
      </text>
    </comment>
    <comment ref="DG105" authorId="0" shapeId="0" xr:uid="{03DB0DDC-1E3A-4892-BCBD-057F36F6474A}">
      <text>
        <r>
          <rPr>
            <b/>
            <sz val="9"/>
            <color indexed="81"/>
            <rFont val="Tahoma"/>
            <family val="2"/>
          </rPr>
          <t>Rob Squire:</t>
        </r>
        <r>
          <rPr>
            <sz val="9"/>
            <color indexed="81"/>
            <rFont val="Tahoma"/>
            <family val="2"/>
          </rPr>
          <t xml:space="preserve">
Purchase of FBND
Date of Purchase 5/7/24
Prior to the sale  
# of shares in account 200
Cost basis per share 45.1152
This action  
Shares purchased 25
Price per share 44.7511
Principal amount $1,118.78
Fees $0.00
Total paid $1,118.78
After the purchase  
New total # of shares in account 225
Cost basis per share  45.07
</t>
        </r>
      </text>
    </comment>
    <comment ref="FU105" authorId="0" shapeId="0" xr:uid="{B74F46D4-4904-4393-B914-D7B6AB634212}">
      <text>
        <r>
          <rPr>
            <b/>
            <sz val="9"/>
            <color indexed="81"/>
            <rFont val="Tahoma"/>
            <family val="2"/>
          </rPr>
          <t>Rob Squire:</t>
        </r>
        <r>
          <rPr>
            <sz val="9"/>
            <color indexed="81"/>
            <rFont val="Tahoma"/>
            <family val="2"/>
          </rPr>
          <t xml:space="preserve">
Sale of IEMG
Date of Sale 6/6/24
Prior to the sale  
# of shares in account 400
Cost basis per share 46.7154
This action  
Shares sold 200
Price per share 53.4799
Principal amount $10,695.98
Fees $0.30
Total received $10,695.68
Cost basis of shares sold $9,343.08
Profit (loss) $1,352.60 
After the sale  
Total # of shares remaining 200
Cost basis per share remains at 46.7154
</t>
        </r>
      </text>
    </comment>
    <comment ref="GD105" authorId="0" shapeId="0" xr:uid="{115958DF-00BD-4F76-A3CB-E6D0D7CE522B}">
      <text>
        <r>
          <rPr>
            <b/>
            <sz val="9"/>
            <color indexed="81"/>
            <rFont val="Tahoma"/>
            <family val="2"/>
          </rPr>
          <t>Rob Squire:</t>
        </r>
        <r>
          <rPr>
            <sz val="9"/>
            <color indexed="81"/>
            <rFont val="Tahoma"/>
            <family val="2"/>
          </rPr>
          <t xml:space="preserve">
Sale of MSFT
Date of Sale 6/28/24
Prior to the sale  
# of shares in account 45
Cost basis per share 221.05
This action  
Shares sold 5
Price per share 451.244
Principal amount $2,256.22
Fees $0.07
Total received $2,256.15
Cost basis of shares sold $1,105.25
Profit (loss) $1,150.90 
After the sale  
Total # of shares remaining 40
Cost basis per share remains at 221.05
</t>
        </r>
      </text>
    </comment>
    <comment ref="GI105" authorId="0" shapeId="0" xr:uid="{050F6E73-DE35-4254-A3C1-052AE898F090}">
      <text>
        <r>
          <rPr>
            <b/>
            <sz val="9"/>
            <color indexed="81"/>
            <rFont val="Tahoma"/>
            <family val="2"/>
          </rPr>
          <t>Rob Squire:</t>
        </r>
        <r>
          <rPr>
            <sz val="9"/>
            <color indexed="81"/>
            <rFont val="Tahoma"/>
            <family val="2"/>
          </rPr>
          <t xml:space="preserve">
Purchase of PG
Date of Purchase 5/8/24
Prior to the sale  
# of shares in account 80
Cost basis per share 149.77
This action  
Shares purchased 15
Price per share 163.8332
Principal amount $2,457.50
Fees $0.00
Total paid $2,457.50
After the purchase  
New total # of shares in account 95
Cost basis per share  151.99
</t>
        </r>
      </text>
    </comment>
    <comment ref="GM105" authorId="0" shapeId="0" xr:uid="{78D2EF58-A988-4017-B994-2045067D4C0D}">
      <text>
        <r>
          <rPr>
            <b/>
            <sz val="9"/>
            <color indexed="81"/>
            <rFont val="Tahoma"/>
            <family val="2"/>
          </rPr>
          <t>Rob Squire:</t>
        </r>
        <r>
          <rPr>
            <sz val="9"/>
            <color indexed="81"/>
            <rFont val="Tahoma"/>
            <family val="2"/>
          </rPr>
          <t xml:space="preserve">
Sale of SBUX
Date of Sale 5/8/24
Prior to the sale  
# of shares in account 175
Cost basis per share 87.47
This action  
Shares sold 175
Price per share 73.5075
Principal amount $12,863.81
Fees $0.11
Total received $12,863.70
Cost basis of shares sold $15,307.25
Profit (loss) ($2,443.55)
After the sale  
Total # of shares remaining 0
Cost basis per share remains at 0
</t>
        </r>
      </text>
    </comment>
    <comment ref="GP105" authorId="0" shapeId="0" xr:uid="{B3253FF9-1127-4699-8070-DD71D2F77C2A}">
      <text>
        <r>
          <rPr>
            <b/>
            <sz val="9"/>
            <color indexed="81"/>
            <rFont val="Tahoma"/>
            <family val="2"/>
          </rPr>
          <t>Rob Squire:</t>
        </r>
        <r>
          <rPr>
            <sz val="9"/>
            <color indexed="81"/>
            <rFont val="Tahoma"/>
            <family val="2"/>
          </rPr>
          <t xml:space="preserve">
Purchase of TSM
Date of Purchase 6/6/24
Prior to the sale  
# of shares in account 0
Cost basis per share N/A
This action  
Shares purchased 40
Price per share 162.3498
Principal amount $6,493.99
Fees $0.00
Total paid $6,493.99
After the purchase  
New total # of shares in account 40
Cost basis per share  162.3498
</t>
        </r>
      </text>
    </comment>
    <comment ref="GR105" authorId="0" shapeId="0" xr:uid="{B1D65BE0-8B6A-48AE-9B47-182B75725A4C}">
      <text>
        <r>
          <rPr>
            <b/>
            <sz val="9"/>
            <color indexed="81"/>
            <rFont val="Tahoma"/>
            <family val="2"/>
          </rPr>
          <t>Rob Squire:</t>
        </r>
        <r>
          <rPr>
            <sz val="9"/>
            <color indexed="81"/>
            <rFont val="Tahoma"/>
            <family val="2"/>
          </rPr>
          <t xml:space="preserve">
Purchase of UNP
Date of Purchase 5/8/24
Prior to the sale  
# of shares in account 40
Cost basis per share 224.31
This action  
Shares purchased 25
Price per share 240.1158
Principal amount $6,002.90
Fees $0.00
Total paid $6,002.90
After the purchase  
New total # of shares in account 65
Cost basis per share  230.39
----------------------------------------------------
Sale of UNP
Date of Sale 5/30/24
Prior to the sale  
# of shares in account 65
Cost basis per share 230.39
This action  
Shares sold 20
Price per share 228.82
Principal amount $4,576.40
Fees $0.13
Total received $4,576.27
Cost basis of shares sold $4,607.80
Profit (loss) ($31.53)
After the sale  
Total # of shares remaining 45
Cost basis per share remains at 226.07
</t>
        </r>
      </text>
    </comment>
    <comment ref="GV105" authorId="0" shapeId="0" xr:uid="{76419122-A974-4C3D-9B1C-8764122D4A80}">
      <text>
        <r>
          <rPr>
            <b/>
            <sz val="9"/>
            <color indexed="81"/>
            <rFont val="Tahoma"/>
            <family val="2"/>
          </rPr>
          <t>Rob Squire:</t>
        </r>
        <r>
          <rPr>
            <sz val="9"/>
            <color indexed="81"/>
            <rFont val="Tahoma"/>
            <family val="2"/>
          </rPr>
          <t xml:space="preserve">
Purchase of VSS
Date of Purchase 5/8/24
Prior to the sale  
# of shares in account 100
Cost basis per share 104.24
This action  
Shares purchased 30
Price per share 117.6544
Principal amount $3,529.63
Fees $0.00
Total paid $3,529.63
After the purchase  
New total # of shares in account 130
Cost basis per share  107.33
</t>
        </r>
      </text>
    </comment>
    <comment ref="HQ105" authorId="0" shapeId="0" xr:uid="{7B5B8669-EC34-488A-95C2-981C492648AB}">
      <text>
        <r>
          <rPr>
            <b/>
            <sz val="9"/>
            <color indexed="81"/>
            <rFont val="Tahoma"/>
            <family val="2"/>
          </rPr>
          <t>Rob Squire:</t>
        </r>
        <r>
          <rPr>
            <sz val="9"/>
            <color indexed="81"/>
            <rFont val="Tahoma"/>
            <family val="2"/>
          </rPr>
          <t xml:space="preserve">
Sale of BFB
Date of Sale 5/31/24
Prior to the sale  
# of shares in account 350
Cost basis per share 65.02
This action  
Shares sold 350
Price per share 44.9016
Principal amount $15,715.56
Fees $0.44
Total received $15,715.12
Cost basis of shares sold $22,757.00
Profit (loss) ($7,041.88)
After the sale  
Total # of shares remaining 0
Cost basis per share remains at 0
</t>
        </r>
      </text>
    </comment>
    <comment ref="IL105" authorId="0" shapeId="0" xr:uid="{25DE4C13-6C34-4B74-A58B-7F2AEF0C4C04}">
      <text>
        <r>
          <rPr>
            <b/>
            <sz val="9"/>
            <color indexed="81"/>
            <rFont val="Tahoma"/>
            <family val="2"/>
          </rPr>
          <t>Rob Squire:</t>
        </r>
        <r>
          <rPr>
            <sz val="9"/>
            <color indexed="81"/>
            <rFont val="Tahoma"/>
            <family val="2"/>
          </rPr>
          <t xml:space="preserve">
Purchase of GEHC
Date of Purchase 5/8/24
Prior to the sale  
# of shares in account 160
Cost basis per share 66.4303
This action  
Shares purchased 40
Price per share 79.58
Principal amount $3,183.20
Fees $0.00
Total paid $3,183.20
After the purchase  
New total # of shares in account 200
Cost basis per share  69.06
</t>
        </r>
      </text>
    </comment>
    <comment ref="IQ105" authorId="0" shapeId="0" xr:uid="{6B02374C-39CA-4796-BBBA-CE18705984FA}">
      <text>
        <r>
          <rPr>
            <b/>
            <sz val="9"/>
            <color indexed="81"/>
            <rFont val="Tahoma"/>
            <family val="2"/>
          </rPr>
          <t>Rob Squire:</t>
        </r>
        <r>
          <rPr>
            <sz val="9"/>
            <color indexed="81"/>
            <rFont val="Tahoma"/>
            <family val="2"/>
          </rPr>
          <t xml:space="preserve">
Purchase of HON
Date of Purchase 6/6/24
Prior to the sale  
# of shares in account 0
Cost basis per share N/A
This action  
Shares purchased 35
Price per share 208.9735
Principal amount $7,314.07
Fees $0.00
Total paid $7,314.07
After the purchase  
New total # of shares in account 35
Cost basis per share  208.9735
</t>
        </r>
      </text>
    </comment>
    <comment ref="IR105" authorId="0" shapeId="0" xr:uid="{0661E13B-3B19-4023-B3AC-B4CD660AD2CF}">
      <text>
        <r>
          <rPr>
            <b/>
            <sz val="9"/>
            <color indexed="81"/>
            <rFont val="Tahoma"/>
            <family val="2"/>
          </rPr>
          <t>Rob Squire:</t>
        </r>
        <r>
          <rPr>
            <sz val="9"/>
            <color indexed="81"/>
            <rFont val="Tahoma"/>
            <family val="2"/>
          </rPr>
          <t xml:space="preserve">
Purchase of IJH
Date of Purchase 5/31/24
Prior to the sale  
# of shares in account 0
Cost basis per share N/A
This action  
Shares purchased 250
Price per share 59.1096
Principal amount $14,777.40
Fees $0.00
Total paid $14,777.40
After the purchase  
New total # of shares in account 250
Cost basis per share  45.07
</t>
        </r>
      </text>
    </comment>
    <comment ref="KQ105" authorId="0" shapeId="0" xr:uid="{FC036379-CD6C-4868-B08D-B52F163F6D9A}">
      <text>
        <r>
          <rPr>
            <b/>
            <sz val="9"/>
            <color indexed="81"/>
            <rFont val="Tahoma"/>
            <family val="2"/>
          </rPr>
          <t>Rob Squire:</t>
        </r>
        <r>
          <rPr>
            <sz val="9"/>
            <color indexed="81"/>
            <rFont val="Tahoma"/>
            <family val="2"/>
          </rPr>
          <t xml:space="preserve">
Sale of WM
Date of Sale 6/6/24
Prior to the sale  
# of shares in account 110
Cost basis per share 114.4523
This action  
Shares sold 40
Price per share 202.555
Principal amount $8,102.20
Fees $0.23
Total received $8,101.97
Cost basis of shares sold $4,578.09
Profit (loss) $3,523.88 
After the sale  
Total # of shares remaining 70
Cost basis per share remains at 114.4523
</t>
        </r>
      </text>
    </comment>
    <comment ref="LT105" authorId="0" shapeId="0" xr:uid="{FE144E13-FE05-465F-BB47-96C08D557C80}">
      <text>
        <r>
          <rPr>
            <b/>
            <sz val="9"/>
            <color indexed="81"/>
            <rFont val="Tahoma"/>
            <family val="2"/>
          </rPr>
          <t>Rob Squire:</t>
        </r>
        <r>
          <rPr>
            <sz val="9"/>
            <color indexed="81"/>
            <rFont val="Tahoma"/>
            <family val="2"/>
          </rPr>
          <t xml:space="preserve">
Purchase of FBND
Date of Purchase 5/7/24
Prior to the sale  
# of shares in account 200
Cost basis per share 45.1152
This action  
Shares purchased 25
Price per share 44.7511
Principal amount $1,118.78
Fees $0.00
Total paid $1,118.78
After the purchase  
New total # of shares in account 225
Cost basis per share  45.07
</t>
        </r>
      </text>
    </comment>
    <comment ref="NG105" authorId="0" shapeId="0" xr:uid="{8378CBD9-3848-4543-96B0-D7209B1177DD}">
      <text>
        <r>
          <rPr>
            <b/>
            <sz val="9"/>
            <color indexed="81"/>
            <rFont val="Tahoma"/>
            <family val="2"/>
          </rPr>
          <t>Rob Squire:</t>
        </r>
        <r>
          <rPr>
            <sz val="9"/>
            <color indexed="81"/>
            <rFont val="Tahoma"/>
            <family val="2"/>
          </rPr>
          <t xml:space="preserve">
Purchase of VEA
Date of Purchase 6/14/24
Prior to the sale  
# of shares in account 250
Cost basis per share 51.39
This action  
Shares purchased 25
Price per share 49.945
Principal amount $1,248.63
Fees $0.00
Total paid $1,248.63
After the purchase  
New total # of shares in account 275
Cost basis per share  51.26
</t>
        </r>
      </text>
    </comment>
    <comment ref="I106" authorId="0" shapeId="0" xr:uid="{6CD48211-D614-4C7B-B586-4828762DF03F}">
      <text>
        <r>
          <rPr>
            <b/>
            <sz val="9"/>
            <color indexed="81"/>
            <rFont val="Tahoma"/>
            <family val="2"/>
          </rPr>
          <t>Rob Squire:</t>
        </r>
        <r>
          <rPr>
            <sz val="9"/>
            <color indexed="81"/>
            <rFont val="Tahoma"/>
            <family val="2"/>
          </rPr>
          <t xml:space="preserve">
Sale of IEFA
Date of Sale 7/31/24
Prior to the sale  
# of shares in account 500
Cost basis per share 63.92
This action  
Shares sold 75
Price per share 74.8411
Principal amount $5,613.08
Fees $0.16
Total received $5,612.92
Cost basis of shares sold $4,794.00
Profit (loss) $818.92 
After the sale  
Total # of shares remaining 425
Cost basis per share remains at 63.92
---------------------------------------------------</t>
        </r>
      </text>
    </comment>
    <comment ref="AJ106" authorId="0" shapeId="0" xr:uid="{3B48A7FC-5C2A-4A45-BAE2-9C26CFD72426}">
      <text>
        <r>
          <rPr>
            <b/>
            <sz val="9"/>
            <color indexed="81"/>
            <rFont val="Tahoma"/>
            <family val="2"/>
          </rPr>
          <t>Rob Squire:</t>
        </r>
        <r>
          <rPr>
            <sz val="9"/>
            <color indexed="81"/>
            <rFont val="Tahoma"/>
            <family val="2"/>
          </rPr>
          <t xml:space="preserve">
Purchase of AMZN
Date of Purchase 7/12/24
Prior to the sale  
# of shares in account 80
Cost basis per share 132.8074
This action  
Shares purchased 30
Price per share 195.5751
Principal amount $5,867.25
Fees $0.00
Total paid $5,867.25
After the purchase  
New total # of shares in account 110
Cost basis per share  149.93
</t>
        </r>
      </text>
    </comment>
    <comment ref="BE106" authorId="0" shapeId="0" xr:uid="{901BF5C3-53AC-4A09-992B-5B198C27180C}">
      <text>
        <r>
          <rPr>
            <b/>
            <sz val="9"/>
            <color indexed="81"/>
            <rFont val="Tahoma"/>
            <family val="2"/>
          </rPr>
          <t>Rob Squire:</t>
        </r>
        <r>
          <rPr>
            <sz val="9"/>
            <color indexed="81"/>
            <rFont val="Tahoma"/>
            <family val="2"/>
          </rPr>
          <t xml:space="preserve">
Sale of GOOGL
Date of Sale 7/9/24
Prior to the sale  
# of shares in account 135
Cost basis per share 89.01
This action  
Shares sold 15
Price per share 188.855
Principal amount $2,832.83
Fees $0.08
Total received $2,832.75
Cost basis of shares sold $1,335.15
Profit (loss) $1,497.60 
After the sale  
Total # of shares remaining 120
Cost basis per share remains at 89.01
</t>
        </r>
      </text>
    </comment>
    <comment ref="BF106" authorId="0" shapeId="0" xr:uid="{80E29B18-0D9D-43FE-B15B-5FBFAA96671B}">
      <text>
        <r>
          <rPr>
            <b/>
            <sz val="9"/>
            <color indexed="81"/>
            <rFont val="Tahoma"/>
            <family val="2"/>
          </rPr>
          <t>Rob Squire:</t>
        </r>
        <r>
          <rPr>
            <sz val="9"/>
            <color indexed="81"/>
            <rFont val="Tahoma"/>
            <family val="2"/>
          </rPr>
          <t xml:space="preserve">
Purchase of GS
Date of Purchase 8/2/24
Prior to the sale  
# of shares in account 0
Cost basis per share N/A
This action  
Shares purchased 25
Price per share 481.5581
Principal amount $12,038.95
Fees $0.00
Total paid $12,038.95
After the purchase  
New total # of shares in account 25
Cost basis per share  481.5581
</t>
        </r>
      </text>
    </comment>
    <comment ref="CG106" authorId="0" shapeId="0" xr:uid="{579D0D83-B3BA-4CDB-A830-F2305C547BFE}">
      <text>
        <r>
          <rPr>
            <b/>
            <sz val="9"/>
            <color indexed="81"/>
            <rFont val="Tahoma"/>
            <family val="2"/>
          </rPr>
          <t>Rob Squire:</t>
        </r>
        <r>
          <rPr>
            <sz val="9"/>
            <color indexed="81"/>
            <rFont val="Tahoma"/>
            <family val="2"/>
          </rPr>
          <t xml:space="preserve">
Purchase of UBER
Date of Purchase 7/22/24
Prior to the sale  
# of shares in account 0
Cost basis per share N/A
This action  
Shares purchased 185
Price per share 67.6729
Principal amount $12,519.49
Fees $0.00
Total paid $12,519.49
After the purchase  
New total # of shares in account 185
Cost basis per share  67.6729
</t>
        </r>
      </text>
    </comment>
    <comment ref="DG106" authorId="0" shapeId="0" xr:uid="{9E30671C-1D18-4253-A1EF-89418BA158CF}">
      <text>
        <r>
          <rPr>
            <b/>
            <sz val="9"/>
            <color indexed="81"/>
            <rFont val="Tahoma"/>
            <family val="2"/>
          </rPr>
          <t>Rob Squire:</t>
        </r>
        <r>
          <rPr>
            <sz val="9"/>
            <color indexed="81"/>
            <rFont val="Tahoma"/>
            <family val="2"/>
          </rPr>
          <t xml:space="preserve">
Purchase of FBND
Date of Purchase 8/5/24
Prior to the sale  
# of shares in account 225
Cost basis per share 45.07
This action  
Shares purchased 25
Price per share 46.41
Principal amount $1,160.25
Fees $0.00
Total paid $1,160.25
After the purchase  
New total # of shares in account 250
Cost basis per share  45.21
</t>
        </r>
      </text>
    </comment>
    <comment ref="FT106" authorId="0" shapeId="0" xr:uid="{0E084D25-8824-4360-A57B-2BAB90AB5FDA}">
      <text>
        <r>
          <rPr>
            <b/>
            <sz val="9"/>
            <color indexed="81"/>
            <rFont val="Tahoma"/>
            <family val="2"/>
          </rPr>
          <t>Rob Squire:</t>
        </r>
        <r>
          <rPr>
            <sz val="9"/>
            <color indexed="81"/>
            <rFont val="Tahoma"/>
            <family val="2"/>
          </rPr>
          <t xml:space="preserve">
Sale of IEFA
Date of Sale 7/31/24
Prior to the sale  
# of shares in account 500
Cost basis per share 63.92
This action  
Shares sold 75
Price per share 74.8411
Principal amount $5,613.08
Fees $0.16
Total received $5,612.92
Cost basis of shares sold $4,794.00
Profit (loss) $818.92 
After the sale  
Total # of shares remaining 425
Cost basis per share remains at 63.92
---------------------------------------------------</t>
        </r>
      </text>
    </comment>
    <comment ref="HJ106" authorId="0" shapeId="0" xr:uid="{41743E9D-459D-49EC-899C-CB1B6277E232}">
      <text>
        <r>
          <rPr>
            <b/>
            <sz val="9"/>
            <color indexed="81"/>
            <rFont val="Tahoma"/>
            <family val="2"/>
          </rPr>
          <t>Rob Squire:</t>
        </r>
        <r>
          <rPr>
            <sz val="9"/>
            <color indexed="81"/>
            <rFont val="Tahoma"/>
            <family val="2"/>
          </rPr>
          <t xml:space="preserve">
Purchase of AMZN
Date of Purchase 7/12/24
Prior to the sale  
# of shares in account 80
Cost basis per share 132.8074
This action  
Shares purchased 30
Price per share 195.5751
Principal amount $5,867.25
Fees $0.00
Total paid $5,867.25
After the purchase  
New total # of shares in account 110
Cost basis per share  149.93
</t>
        </r>
      </text>
    </comment>
    <comment ref="HR106" authorId="0" shapeId="0" xr:uid="{8415B4CD-E5FD-4A5E-B465-7EC93BFB3CBA}">
      <text>
        <r>
          <rPr>
            <b/>
            <sz val="9"/>
            <color indexed="81"/>
            <rFont val="Tahoma"/>
            <family val="2"/>
          </rPr>
          <t>Rob Squire:</t>
        </r>
        <r>
          <rPr>
            <sz val="9"/>
            <color indexed="81"/>
            <rFont val="Tahoma"/>
            <family val="2"/>
          </rPr>
          <t xml:space="preserve">
Sale of BK
Date of Sale 7/12/24
Prior to the sale  
# of shares in account 500
Cost basis per share 32.25
This action  
Shares sold 100
Price per share 64.8
Principal amount $6,480.00
Fees $0.19
Total received $6,479.81
Cost basis of shares sold $3,225.00
Profit (loss) $3,254.81 
After the sale  
Total # of shares remaining 400
Cost basis per share changed to (?) 43.3
 -------------------------------------------------------
Sale of BK
Date of Sale 8/2/24
Prior to the sale  
# of shares in account 400
Cost basis per share 43.3
This action  
Shares sold 200
Price per share 63.2888
Principal amount $12,657.76
Fees $0.36
Total received $12,657.40
Cost basis of shares sold $8,660.00
Profit (loss) $3,997.40 
After the sale  
Total # of shares remaining 200
Cost basis per share remains at 43.3
</t>
        </r>
      </text>
    </comment>
    <comment ref="IM106" authorId="0" shapeId="0" xr:uid="{2E706882-A0BA-45A7-9DAC-35B6F0E4125F}">
      <text>
        <r>
          <rPr>
            <b/>
            <sz val="9"/>
            <color indexed="81"/>
            <rFont val="Tahoma"/>
            <family val="2"/>
          </rPr>
          <t>Rob Squire:</t>
        </r>
        <r>
          <rPr>
            <sz val="9"/>
            <color indexed="81"/>
            <rFont val="Tahoma"/>
            <family val="2"/>
          </rPr>
          <t xml:space="preserve">
Sale of GOOGL
Date of Sale 7/9/24
Prior to the sale  
# of shares in account 135
Cost basis per share 89.01
This action  
Shares sold 15
Price per share 188.855
Principal amount $2,832.83
Fees $0.08
Total received $2,832.75
Cost basis of shares sold $1,335.15
Profit (loss) $1,497.60 
After the sale  
Total # of shares remaining 120
Cost basis per share remains at 89.01
</t>
        </r>
      </text>
    </comment>
    <comment ref="IN106" authorId="0" shapeId="0" xr:uid="{D81E1ACD-5C67-4D43-9022-CB1172908005}">
      <text>
        <r>
          <rPr>
            <b/>
            <sz val="9"/>
            <color indexed="81"/>
            <rFont val="Tahoma"/>
            <family val="2"/>
          </rPr>
          <t>Rob Squire:</t>
        </r>
        <r>
          <rPr>
            <sz val="9"/>
            <color indexed="81"/>
            <rFont val="Tahoma"/>
            <family val="2"/>
          </rPr>
          <t xml:space="preserve">
Purchase of GS
Date of Purchase 8/2/24
Prior to the sale  
# of shares in account 0
Cost basis per share N/A
This action  
Shares purchased 25
Price per share 481.5581
Principal amount $12,038.95
Fees $0.00
Total paid $12,038.95
After the purchase  
New total # of shares in account 25
Cost basis per share  481.5581
</t>
        </r>
      </text>
    </comment>
    <comment ref="IQ106" authorId="0" shapeId="0" xr:uid="{9BE5F4E7-08B1-4AB5-8055-D4A5009B335A}">
      <text>
        <r>
          <rPr>
            <b/>
            <sz val="9"/>
            <color indexed="81"/>
            <rFont val="Tahoma"/>
            <family val="2"/>
          </rPr>
          <t>Rob Squire:</t>
        </r>
        <r>
          <rPr>
            <sz val="9"/>
            <color indexed="81"/>
            <rFont val="Tahoma"/>
            <family val="2"/>
          </rPr>
          <t xml:space="preserve">
Purchase of HON
Date of Purchase 7/9/24
Prior to the sale  
# of shares in account 35
Cost basis per share 208.9735
This action  
Shares purchased 10
Price per share 211.18
Principal amount $2,111.80
Fees $0.00
Total paid $2,111.80
After the purchase  
New total # of shares in account 45
Cost basis per share  209.46
</t>
        </r>
      </text>
    </comment>
    <comment ref="JN106" authorId="0" shapeId="0" xr:uid="{F88A28A3-3DFB-4B97-A499-9648281879D1}">
      <text>
        <r>
          <rPr>
            <b/>
            <sz val="9"/>
            <color indexed="81"/>
            <rFont val="Tahoma"/>
            <family val="2"/>
          </rPr>
          <t>Rob Squire:</t>
        </r>
        <r>
          <rPr>
            <sz val="9"/>
            <color indexed="81"/>
            <rFont val="Tahoma"/>
            <family val="2"/>
          </rPr>
          <t xml:space="preserve">
Sale of NKE
Date of Sale 7/22/24
Prior to the sale  
# of shares in account 175
Cost basis per share 121.0751
This action  
Shares sold 175
Price per share 74.2218
Principal amount $12,988.82
Fees $0.37
Total received $12,988.45
Cost basis of shares sold $21,188.14
Profit (loss) ($8,199.70)
After the sale  
Total # of shares remaining 0
Cost basis per share remains at 0
</t>
        </r>
      </text>
    </comment>
    <comment ref="JW106" authorId="0" shapeId="0" xr:uid="{88A802B5-A744-45E4-B325-048550B51416}">
      <text>
        <r>
          <rPr>
            <b/>
            <sz val="9"/>
            <color indexed="81"/>
            <rFont val="Tahoma"/>
            <family val="2"/>
          </rPr>
          <t>Rob Squire:</t>
        </r>
        <r>
          <rPr>
            <sz val="9"/>
            <color indexed="81"/>
            <rFont val="Tahoma"/>
            <family val="2"/>
          </rPr>
          <t xml:space="preserve">
Purchase of UBER
Date of Purchase 7/22/24
Prior to the sale  
# of shares in account 0
Cost basis per share N/A
This action  
Shares purchased 185
Price per share 67.6729
Principal amount $12,519.49
Fees $0.00
Total paid $12,519.49
After the purchase  
New total # of shares in account 185
Cost basis per share  67.6729
</t>
        </r>
      </text>
    </comment>
    <comment ref="LT106" authorId="0" shapeId="0" xr:uid="{1E19323C-8D4E-4C30-BBB0-BC3F4DCD81CE}">
      <text>
        <r>
          <rPr>
            <b/>
            <sz val="9"/>
            <color indexed="81"/>
            <rFont val="Tahoma"/>
            <family val="2"/>
          </rPr>
          <t>Rob Squire:</t>
        </r>
        <r>
          <rPr>
            <sz val="9"/>
            <color indexed="81"/>
            <rFont val="Tahoma"/>
            <family val="2"/>
          </rPr>
          <t xml:space="preserve">
Purchase of FBND
Date of Purchase 8/5/24
Prior to the sale  
# of shares in account 225
Cost basis per share 45.07
This action  
Shares purchased 25
Price per share 46.41
Principal amount $1,160.25
Fees $0.00
Total paid $1,160.25
After the purchase  
New total # of shares in account 250
Cost basis per share  45.21
</t>
        </r>
      </text>
    </comment>
    <comment ref="I107" authorId="0" shapeId="0" xr:uid="{848C0BC5-A99D-4B66-8FB0-CEE2371C482D}">
      <text>
        <r>
          <rPr>
            <b/>
            <sz val="9"/>
            <color indexed="81"/>
            <rFont val="Tahoma"/>
            <family val="2"/>
          </rPr>
          <t>Rob Squire:</t>
        </r>
        <r>
          <rPr>
            <sz val="9"/>
            <color indexed="81"/>
            <rFont val="Tahoma"/>
            <family val="2"/>
          </rPr>
          <t xml:space="preserve">
Sale of IEFA
Date of Sale 8/29/24
Prior to the sale  
# of shares in account 425
Cost basis per share 63.92
This action  
Shares sold 25
Price per share 77.0701
Principal amount $1,926.75
Fees $0.06
Total received $1,926.69
Cost basis of shares sold $1,598.00
Profit (loss) $328.69 
After the sale  
Total # of shares remaining 400
Cost basis per share remains at 63.68
</t>
        </r>
      </text>
    </comment>
    <comment ref="M107" authorId="0" shapeId="0" xr:uid="{1A976AE6-0EF0-4454-94F5-B8F4AAA5A18C}">
      <text>
        <r>
          <rPr>
            <b/>
            <sz val="9"/>
            <color indexed="81"/>
            <rFont val="Tahoma"/>
            <family val="2"/>
          </rPr>
          <t>Rob Squire:</t>
        </r>
        <r>
          <rPr>
            <sz val="9"/>
            <color indexed="81"/>
            <rFont val="Tahoma"/>
            <family val="2"/>
          </rPr>
          <t xml:space="preserve">
Sale of MSFT
Date of Sale 9/30/24
Prior to the sale  
# of shares in account 40
Cost basis per share 221.05
This action  
Shares sold 10
Price per share 427.29
Principal amount $4,272.90
Fees $0.12
Total received $4,272.78
Cost basis of shares sold $2,210.50
Profit (loss) $2,062.28 
After the sale  
Total # of shares remaining 30
Cost basis per share remains at 221.05
</t>
        </r>
      </text>
    </comment>
    <comment ref="T107" authorId="0" shapeId="0" xr:uid="{4A606DDB-3869-4435-AEBC-5DC9BFA71FD0}">
      <text>
        <r>
          <rPr>
            <b/>
            <sz val="9"/>
            <color indexed="81"/>
            <rFont val="Tahoma"/>
            <family val="2"/>
          </rPr>
          <t>Rob Squire:</t>
        </r>
        <r>
          <rPr>
            <sz val="9"/>
            <color indexed="81"/>
            <rFont val="Tahoma"/>
            <family val="2"/>
          </rPr>
          <t xml:space="preserve">
Sale of VSS
Date of Sale 8/29/24
Prior to the sale  
# of shares in account 130
Cost basis per share 107.33
This action  
Shares sold 30
Price per share 122.5501
Principal amount $3,676.50
Fees $0.11
Total received $3,676.39
Cost basis of shares sold $3,219.90
Profit (loss) $456.49 
After the sale  
Total # of shares remaining 100
Cost basis per share remains at 107.85
---------------------------------------------------
Sale of VSS
Date of Sale 9/30/24
Prior to the sale  
# of shares in account 100
Cost basis per share 107.85
This action  
Shares sold 10
Price per share 125.7658
Principal amount $1,257.66
Fees $0.04
Total received $1,257.62
Cost basis of shares sold $1,078.50
Profit (loss) $179.12 
After the sale  
Total # of shares remaining 90
Cost basis per share remains at 108.1
</t>
        </r>
      </text>
    </comment>
    <comment ref="V107" authorId="0" shapeId="0" xr:uid="{770B4A83-3B4F-4106-BDEA-347FB8446B98}">
      <text>
        <r>
          <rPr>
            <b/>
            <sz val="9"/>
            <color indexed="81"/>
            <rFont val="Tahoma"/>
            <family val="2"/>
          </rPr>
          <t>Rob Squire:</t>
        </r>
        <r>
          <rPr>
            <sz val="9"/>
            <color indexed="81"/>
            <rFont val="Tahoma"/>
            <family val="2"/>
          </rPr>
          <t xml:space="preserve">
Sale of VWEHX
Date of Sale 8/26/24
Prior to the sale  
# of shares in account 5,773
Cost basis per share 5.37
This action  
Shares sold 5,773
Price per share 5.49
Principal amount $31,692.74
Fees $0.00
Total received $31,692.74
Cost basis of shares sold $31,000.00
Profit (loss) $692.74
After the sale  
Total # of shares remaining 0
Cost basis per share remains at 0
</t>
        </r>
      </text>
    </comment>
    <comment ref="AH107" authorId="0" shapeId="0" xr:uid="{97ACA5B2-4A1C-49F3-846D-614345A92236}">
      <text>
        <r>
          <rPr>
            <b/>
            <sz val="9"/>
            <color indexed="81"/>
            <rFont val="Tahoma"/>
            <family val="2"/>
          </rPr>
          <t>Rob Squire:</t>
        </r>
        <r>
          <rPr>
            <sz val="9"/>
            <color indexed="81"/>
            <rFont val="Tahoma"/>
            <family val="2"/>
          </rPr>
          <t xml:space="preserve">
Sale of AAPL
Date of Sale 9/23/24
Prior to the sale  
# of shares in account 100
Cost basis per share 175.0567
This action  
Shares sold 10
Price per share 227.304
Principal amount $2,273.04
Fees $0.07
Total received $2,272.97
Cost basis of shares sold $1,750.57
Profit (loss) $522.40 
After the sale  
Total # of shares remaining 90
Cost basis per share remains at 175.0567
</t>
        </r>
      </text>
    </comment>
    <comment ref="AJ107" authorId="0" shapeId="0" xr:uid="{D74BFA36-4DB9-4A23-B32E-543CE03421DF}">
      <text>
        <r>
          <rPr>
            <b/>
            <sz val="9"/>
            <color indexed="81"/>
            <rFont val="Tahoma"/>
            <family val="2"/>
          </rPr>
          <t>Rob Squire:</t>
        </r>
        <r>
          <rPr>
            <sz val="9"/>
            <color indexed="81"/>
            <rFont val="Tahoma"/>
            <family val="2"/>
          </rPr>
          <t xml:space="preserve">
Purchase of AMZN
Date of Purchase 9/23/24
Prior to the sale  
# of shares in account 110
Cost basis per share 149.93
This action  
Shares purchased 15
Price per share 192.3345
Principal amount $2,885.02
Fees $0.00
Total paid $2,885.02
After the purchase  
New total # of shares in account 125
Cost basis per share  155.01
</t>
        </r>
      </text>
    </comment>
    <comment ref="BY107" authorId="0" shapeId="0" xr:uid="{7475E02F-ADE6-4E87-979E-3112A32B1A45}">
      <text>
        <r>
          <rPr>
            <b/>
            <sz val="9"/>
            <color indexed="81"/>
            <rFont val="Tahoma"/>
            <family val="2"/>
          </rPr>
          <t>Rob Squire:</t>
        </r>
        <r>
          <rPr>
            <sz val="9"/>
            <color indexed="81"/>
            <rFont val="Tahoma"/>
            <family val="2"/>
          </rPr>
          <t xml:space="preserve">
Sale of PG
Date of Sale 8/22/24
Prior to the sale  
# of shares in account 55
Cost basis per share 139.46
This action  
Shares sold 10
Price per share 168.4
Principal amount $1,684.00
Fees $0.05
Total received $1,683.95
Cost basis of shares sold $1,394.60
Profit (loss) $289.35 
After the sale  
Total # of shares remaining 45
Cost basis per share remains at 137.93
</t>
        </r>
      </text>
    </comment>
    <comment ref="BZ107" authorId="0" shapeId="0" xr:uid="{7817E475-27F0-4446-A2C8-54E98B93CF55}">
      <text>
        <r>
          <rPr>
            <b/>
            <sz val="9"/>
            <color indexed="81"/>
            <rFont val="Tahoma"/>
            <family val="2"/>
          </rPr>
          <t>Rob Squire:</t>
        </r>
        <r>
          <rPr>
            <sz val="9"/>
            <color indexed="81"/>
            <rFont val="Tahoma"/>
            <family val="2"/>
          </rPr>
          <t xml:space="preserve">
Sale of PPL
Date of Sale 8/26/24
Prior to the sale  
# of shares in account 275
Cost basis per share 28.56
This action  
Shares sold 50
Price per share 31.8741
Principal amount $1,593.71
Fees $0.05
Total received $1,593.66
Cost basis of shares sold $1,428.00
Profit (loss) $165.66 
After the sale  
Total # of shares remaining 225
Cost basis per share remains at 28.5
</t>
        </r>
      </text>
    </comment>
    <comment ref="CF107" authorId="0" shapeId="0" xr:uid="{009C7D3F-4D0A-44C8-88BD-EC13FFCC8040}">
      <text>
        <r>
          <rPr>
            <b/>
            <sz val="9"/>
            <color indexed="81"/>
            <rFont val="Tahoma"/>
            <family val="2"/>
          </rPr>
          <t>Rob Squire:</t>
        </r>
        <r>
          <rPr>
            <sz val="9"/>
            <color indexed="81"/>
            <rFont val="Tahoma"/>
            <family val="2"/>
          </rPr>
          <t xml:space="preserve">
Sale of UAL
Date of Sale 9/17/24
Prior to the sale  
# of shares in account 1,868
Cost basis per share 41.68
This action  
Shares sold 1,168
Price per share 53.21
Principal amount $62,149.28
Fees $1.73
Total received $62,147.55
Cost basis of shares sold $48,682.24
Profit (loss) $13,465.31 
After the sale  
Total # of shares remaining 700
Cost basis per share remains at 41.68
-----------------------------------------------------
Sale of Enter UAL
Date of Sale 9/17/24
Prior to the sale  
# of shares in account 700
Cost basis per share 41.68
This action  
Shares sold 700
Price per share 53.2095
Principal amount $37,246.65
Fees $0.07
Total received $37,246.58
Cost basis of shares sold $29,176.00
Profit (loss) $8,070.58 
After the sale  
Total # of shares remaining 0
Cost basis per share remains at 0
Total profit: $21,535.89
</t>
        </r>
      </text>
    </comment>
    <comment ref="CG107" authorId="0" shapeId="0" xr:uid="{79955F64-CEE5-46E6-9640-8B5825991CD2}">
      <text>
        <r>
          <rPr>
            <b/>
            <sz val="9"/>
            <color indexed="81"/>
            <rFont val="Tahoma"/>
            <family val="2"/>
          </rPr>
          <t>Rob Squire:</t>
        </r>
        <r>
          <rPr>
            <sz val="9"/>
            <color indexed="81"/>
            <rFont val="Tahoma"/>
            <family val="2"/>
          </rPr>
          <t xml:space="preserve">
Purchase of UBER
Date of Purchase 8/26/24
Prior to the sale  
# of shares in account 185
Cost basis per share 67.6729
This action  
Shares purchased 15
Price per share 72.4783
Principal amount $1,087.17
Fees $0.00
Total paid $1,087.17
After the purchase  
New total # of shares in account 200
Cost basis per share  68.03
</t>
        </r>
      </text>
    </comment>
    <comment ref="CH107" authorId="0" shapeId="0" xr:uid="{487D57E6-6092-4E92-8D86-3E71953EB3F0}">
      <text>
        <r>
          <rPr>
            <b/>
            <sz val="9"/>
            <color indexed="81"/>
            <rFont val="Tahoma"/>
            <family val="2"/>
          </rPr>
          <t>Rob Squire:</t>
        </r>
        <r>
          <rPr>
            <sz val="9"/>
            <color indexed="81"/>
            <rFont val="Tahoma"/>
            <family val="2"/>
          </rPr>
          <t xml:space="preserve">
Sale of UNH
Date of Sale 9/9/24
Prior to the sale  
# of shares in account 50
Cost basis per share 382.93
This action  
Shares sold 5
Price per share 592.6962
Principal amount $2,963.48
Fees $0.09
Total received $2,963.39
Cost basis of shares sold $1,914.65
Profit (loss) $1,048.74 
After the sale  
Total # of shares remaining 45
Cost basis per share remains at 378.08
</t>
        </r>
      </text>
    </comment>
    <comment ref="CI107" authorId="0" shapeId="0" xr:uid="{9E39D67E-5B6C-42DC-BCB2-8DEF3B447CFD}">
      <text>
        <r>
          <rPr>
            <b/>
            <sz val="9"/>
            <color indexed="81"/>
            <rFont val="Tahoma"/>
            <family val="2"/>
          </rPr>
          <t>Rob Squire:</t>
        </r>
        <r>
          <rPr>
            <sz val="9"/>
            <color indexed="81"/>
            <rFont val="Tahoma"/>
            <family val="2"/>
          </rPr>
          <t xml:space="preserve">
Purchase of UTHR
Date of Purchase 8/22/24
Prior to the sale  
# of shares in account 0
Cost basis per share N/A
This action  
Shares purchased 21
Price per share 346.6001
Principal amount $7,278.60
Fees $0.00
Total paid $7,278.60
After the purchase  
New total # of shares in account 21
Cost basis per share  346.6001
---------------------------------------------
Purchase of UTHR
Date of Purchase 9/9/24
Prior to the sale  
# of shares in account 21
Cost basis per share 346.6001
This action  
Shares purchased 5
Price per share 347.8082
Principal amount $1,739.04
Fees $0.00
Total paid $1,739.04
After the purchase  
New total # of shares in account 26
Cost basis per share 346.83
</t>
        </r>
      </text>
    </comment>
    <comment ref="CM107" authorId="0" shapeId="0" xr:uid="{CEA4B0D0-DC60-4E9E-ADA8-0C3BEC6DFC16}">
      <text>
        <r>
          <rPr>
            <b/>
            <sz val="9"/>
            <color indexed="81"/>
            <rFont val="Tahoma"/>
            <family val="2"/>
          </rPr>
          <t>Rob Squire:</t>
        </r>
        <r>
          <rPr>
            <sz val="9"/>
            <color indexed="81"/>
            <rFont val="Tahoma"/>
            <family val="2"/>
          </rPr>
          <t xml:space="preserve">
Purchase of VEA
Date of Purchase 8/22/24
Prior to the sale  
# of shares in account 275
Cost basis per share 51.26
This action  
Shares purchased 25
Price per share 51.42
Principal amount $1,285.50
Fees $0.00
Total paid $1,285.50
After the purchase  
New total # of shares in account 300
Cost basis per share  51.28
</t>
        </r>
      </text>
    </comment>
    <comment ref="CQ107" authorId="0" shapeId="0" xr:uid="{2822DB25-404C-4145-9CBB-A5BC6078C7B3}">
      <text>
        <r>
          <rPr>
            <b/>
            <sz val="9"/>
            <color indexed="81"/>
            <rFont val="Tahoma"/>
            <family val="2"/>
          </rPr>
          <t>Rob Squire:</t>
        </r>
        <r>
          <rPr>
            <sz val="9"/>
            <color indexed="81"/>
            <rFont val="Tahoma"/>
            <family val="2"/>
          </rPr>
          <t xml:space="preserve">
Sale of VNQ
Date of Sale 10/10/24
Prior to the sale  
# of shares in account 150
Cost basis per share 83.3814
This action  
Shares sold 150
Price per share 93.8296
Principal amount $14,074.44
Fees $0.40
Total received $14,074.04
Cost basis of shares sold $12,507.21
Profit (loss) $1,566.83 
After the sale  
Total # of shares remaining 0
Cost basis per share remains at 0
</t>
        </r>
      </text>
    </comment>
    <comment ref="CS107" authorId="0" shapeId="0" xr:uid="{D2A99B2D-B45B-42D6-90CA-5177996050E5}">
      <text>
        <r>
          <rPr>
            <b/>
            <sz val="9"/>
            <color indexed="81"/>
            <rFont val="Tahoma"/>
            <family val="2"/>
          </rPr>
          <t>Rob Squire:</t>
        </r>
        <r>
          <rPr>
            <sz val="9"/>
            <color indexed="81"/>
            <rFont val="Tahoma"/>
            <family val="2"/>
          </rPr>
          <t xml:space="preserve">
Sale of VRTX
Date of Sale 8/22/24
Prior to the sale  
# of shares in account 30
Cost basis per share 413.3
This action  
Shares sold 15
Price per share 482.6097
Principal amount $7,239.15
Fees $0.21
Total received $7,238.94
Cost basis of shares sold $6,199.50
Profit (loss) $1,039.44 
After the sale  
Total # of shares remaining 15
Cost basis per share remains at 409.86
-------------------------------------------------
Purchase of VRTX
Date of Purchase 9/9/24
Prior to the sale  
# of shares in account 15
Cost basis per share 409.86
This action  
Shares purchased 5
Price per share 470.9
Principal amount $2,354.50
Fees $0.00
Total paid $2,354.50
After the purchase  
New total # of shares in account 20
Cost basis per share  425.12
</t>
        </r>
      </text>
    </comment>
    <comment ref="DH107" authorId="0" shapeId="0" xr:uid="{1A160E88-CBBB-413F-9C5D-46697D04473B}">
      <text>
        <r>
          <rPr>
            <b/>
            <sz val="9"/>
            <color indexed="81"/>
            <rFont val="Tahoma"/>
            <family val="2"/>
          </rPr>
          <t>Rob Squire:</t>
        </r>
        <r>
          <rPr>
            <sz val="9"/>
            <color indexed="81"/>
            <rFont val="Tahoma"/>
            <family val="2"/>
          </rPr>
          <t xml:space="preserve">
Purchase of FNBGX
Date of Purchase 9/16/24
Prior to the sale  
# of shares in account * 2,579.979
Cost basis per share 9.69
This action  
Shares purchased 3,065.134
Price per share 10.44
Principal amount $32,000.00
Fees $0.00
Total paid $32,000.00
After the purchase  
New total # of shares in account 5,691.129
Cost basis per share  10.02
* Number doesn't reflect additional  shares purchased by reinvested dividends
--------------------------------------------------------------------
Purchase of FNBGX
Date of Purchase 9/18/24
Prior to the sale  
# of shares in account 5,691
Cost basis per share 10.02
This action  
Shares purchased 1,965
Price per share 10.28
Principal amount $20,200.00
Fees $0.00
Total paid $20,200.00
After the purchase  
New total # of shares in account 7656.11
Cost basis per share  10.08
</t>
        </r>
      </text>
    </comment>
    <comment ref="DJ107" authorId="0" shapeId="0" xr:uid="{514732DE-385A-427A-8685-F972023FC3A5}">
      <text>
        <r>
          <rPr>
            <b/>
            <sz val="9"/>
            <color indexed="81"/>
            <rFont val="Tahoma"/>
            <family val="2"/>
          </rPr>
          <t>Rob Squire:</t>
        </r>
        <r>
          <rPr>
            <sz val="9"/>
            <color indexed="81"/>
            <rFont val="Tahoma"/>
            <family val="2"/>
          </rPr>
          <t xml:space="preserve">
Purchase of FUAMX
Date of Purchase 9/18/24
Prior to the sale  
# of shares in account 0
Cost basis per share N/A
This action  
Shares purchased 7,992.008
Price per share 10.01
Principal amount $80,000.00
Fees $0.00
Total paid $80,000.00
After the purchase  
New total # of shares in account 7,992.008
</t>
        </r>
      </text>
    </comment>
    <comment ref="DK107" authorId="0" shapeId="0" xr:uid="{CCC73500-FFF1-43F1-829F-42771C9BD6CB}">
      <text>
        <r>
          <rPr>
            <b/>
            <sz val="9"/>
            <color indexed="81"/>
            <rFont val="Tahoma"/>
            <family val="2"/>
          </rPr>
          <t>Rob Squire:</t>
        </r>
        <r>
          <rPr>
            <sz val="9"/>
            <color indexed="81"/>
            <rFont val="Tahoma"/>
            <family val="2"/>
          </rPr>
          <t xml:space="preserve">
Purchase of ICSH
Date of Purchase 8/26/24
Prior to the sale  
# of shares in account 55
Cost basis per share 50.37
This action  
Shares purchased 40
Price per share 50.67
Principal amount $2,026.80
Fees $0.00
Total paid $2,026.80
After the purchase  
New total # of shares in account 95
Cost basis per share  50.5
-----------------------------------------------
Purchase of ICSH
Date of Purchase 9/9/24
Prior to the sale  
# of shares in account 95
Cost basis per share 50.5
This action  
Shares purchased 25
Price per share 50.5948
Principal amount $1,264.87
Fees $0.00
Total paid $1,264.87
After the purchase  
New total # of shares in account 120
Cost basis per share  50.52
</t>
        </r>
      </text>
    </comment>
    <comment ref="FT107" authorId="0" shapeId="0" xr:uid="{57748D3A-74A4-4923-80ED-2CA1A1AEEB25}">
      <text>
        <r>
          <rPr>
            <b/>
            <sz val="9"/>
            <color indexed="81"/>
            <rFont val="Tahoma"/>
            <family val="2"/>
          </rPr>
          <t>Rob Squire:</t>
        </r>
        <r>
          <rPr>
            <sz val="9"/>
            <color indexed="81"/>
            <rFont val="Tahoma"/>
            <family val="2"/>
          </rPr>
          <t xml:space="preserve">
Sale of IEFA
Date of Sale 8/29/24
Prior to the sale  
# of shares in account 425
Cost basis per share 63.92
This action  
Shares sold 25
Price per share 77.0701
Principal amount $1,926.75
Fees $0.06
Total received $1,926.69
Cost basis of shares sold $1,598.00
Profit (loss) $328.69 
After the sale  
Total # of shares remaining 400
Cost basis per share remains at 63.68
</t>
        </r>
      </text>
    </comment>
    <comment ref="GD107" authorId="0" shapeId="0" xr:uid="{EABAD1B8-C670-4A1B-86B8-EED11CEC4CAB}">
      <text>
        <r>
          <rPr>
            <b/>
            <sz val="9"/>
            <color indexed="81"/>
            <rFont val="Tahoma"/>
            <family val="2"/>
          </rPr>
          <t>Rob Squire:</t>
        </r>
        <r>
          <rPr>
            <sz val="9"/>
            <color indexed="81"/>
            <rFont val="Tahoma"/>
            <family val="2"/>
          </rPr>
          <t xml:space="preserve">
Sale of MSFT
Date of Sale 9/30/24
Prior to the sale  
# of shares in account 40
Cost basis per share 221.05
This action  
Shares sold 10
Price per share 427.29
Principal amount $4,272.90
Fees $0.12
Total received $4,272.78
Cost basis of shares sold $2,210.50
Profit (loss) $2,062.28 
After the sale  
Total # of shares remaining 30
Cost basis per share remains at 221.05
</t>
        </r>
      </text>
    </comment>
    <comment ref="GE107" authorId="0" shapeId="0" xr:uid="{03D5F238-5572-43A7-895D-46859B797B69}">
      <text>
        <r>
          <rPr>
            <b/>
            <sz val="9"/>
            <color indexed="81"/>
            <rFont val="Tahoma"/>
            <family val="2"/>
          </rPr>
          <t>Rob Squire:</t>
        </r>
        <r>
          <rPr>
            <sz val="9"/>
            <color indexed="81"/>
            <rFont val="Tahoma"/>
            <family val="2"/>
          </rPr>
          <t xml:space="preserve">
Purchase of NSRGY
Date of Purchase 8/14/24
Prior to the sale  
# of shares in account 0
Cost basis per share N/A
This action  
Shares purchased 80
Price per share 103.0958
Principal amount $8,247.66
Fees $0.00
Total paid $8,247.66
After the purchase  
New total # of shares in account 80
Cost basis per share  103.0958
</t>
        </r>
      </text>
    </comment>
    <comment ref="GI107" authorId="0" shapeId="0" xr:uid="{DB38CB80-75BE-4188-980D-5F9A69483FB8}">
      <text>
        <r>
          <rPr>
            <b/>
            <sz val="9"/>
            <color indexed="81"/>
            <rFont val="Tahoma"/>
            <family val="2"/>
          </rPr>
          <t>Rob Squire:</t>
        </r>
        <r>
          <rPr>
            <sz val="9"/>
            <color indexed="81"/>
            <rFont val="Tahoma"/>
            <family val="2"/>
          </rPr>
          <t xml:space="preserve">
Sale of PG
Date of Sale 8/14/24
Prior to the sale  
# of shares in account 95
Cost basis per share 153.91
This action  
Shares sold 45
Price per share 168.3416
Principal amount $7,575.37
Fees $0.22
Total received $7,575.15
Cost basis of shares sold $6,925.95
Profit (loss) $649.20 
After the sale  
Total # of shares remaining 50
Cost basis per share remains at 153.91
</t>
        </r>
      </text>
    </comment>
    <comment ref="GV107" authorId="0" shapeId="0" xr:uid="{0585FA86-8472-4443-96AE-347DAF1EAB58}">
      <text>
        <r>
          <rPr>
            <b/>
            <sz val="9"/>
            <color indexed="81"/>
            <rFont val="Tahoma"/>
            <family val="2"/>
          </rPr>
          <t>Rob Squire:</t>
        </r>
        <r>
          <rPr>
            <sz val="9"/>
            <color indexed="81"/>
            <rFont val="Tahoma"/>
            <family val="2"/>
          </rPr>
          <t xml:space="preserve">
Sale of VSS
Date of Sale 8/29/24
Prior to the sale  
# of shares in account 130
Cost basis per share 107.33
This action  
Shares sold 30
Price per share 122.5501
Principal amount $3,676.50
Fees $0.11
Total received $3,676.39
Cost basis of shares sold $3,219.90
Profit (loss) $456.49 
After the sale  
Total # of shares remaining 100
Cost basis per share remains at 107.85
---------------------------------------------------
Sale of VSS
Date of Sale 9/30/24
Prior to the sale  
# of shares in account 100
Cost basis per share 107.85
This action  
Shares sold 10
Price per share 125.7658
Principal amount $1,257.66
Fees $0.04
Total received $1,257.62
Cost basis of shares sold $1,078.50
Profit (loss) $179.12 
After the sale  
Total # of shares remaining 90
Cost basis per share remains at 108.1
</t>
        </r>
      </text>
    </comment>
    <comment ref="HH107" authorId="0" shapeId="0" xr:uid="{59CC19FD-22B9-4EEA-9E28-005EBF98ACE3}">
      <text>
        <r>
          <rPr>
            <b/>
            <sz val="9"/>
            <color indexed="81"/>
            <rFont val="Tahoma"/>
            <family val="2"/>
          </rPr>
          <t>Rob Squire:</t>
        </r>
        <r>
          <rPr>
            <sz val="9"/>
            <color indexed="81"/>
            <rFont val="Tahoma"/>
            <family val="2"/>
          </rPr>
          <t xml:space="preserve">
Sale of AAPL
Date of Sale 9/23/24
Prior to the sale  
# of shares in account 100
Cost basis per share 175.0567
This action  
Shares sold 10
Price per share 227.304
Principal amount $2,273.04
Fees $0.07
Total received $2,272.97
Cost basis of shares sold $1,750.57
Profit (loss) $522.40 
After the sale  
Total # of shares remaining 90
Cost basis per share remains at 175.0567
</t>
        </r>
      </text>
    </comment>
    <comment ref="HJ107" authorId="0" shapeId="0" xr:uid="{AC009515-8D7A-4F39-A4E8-4674B25AA0BB}">
      <text>
        <r>
          <rPr>
            <b/>
            <sz val="9"/>
            <color indexed="81"/>
            <rFont val="Tahoma"/>
            <family val="2"/>
          </rPr>
          <t>Rob Squire:</t>
        </r>
        <r>
          <rPr>
            <sz val="9"/>
            <color indexed="81"/>
            <rFont val="Tahoma"/>
            <family val="2"/>
          </rPr>
          <t xml:space="preserve">
Purchase of AMZN
Date of Purchase 9/23/24
Prior to the sale  
# of shares in account 110
Cost basis per share 149.93
This action  
Shares purchased 15
Price per share 192.3345
Principal amount $2,885.02
Fees $0.00
Total paid $2,885.02
After the purchase  
New total # of shares in account 125
Cost basis per share  155.01
</t>
        </r>
      </text>
    </comment>
    <comment ref="HL107" authorId="0" shapeId="0" xr:uid="{C12A8645-1377-4B3E-9169-39AC5DCDA4F9}">
      <text>
        <r>
          <rPr>
            <b/>
            <sz val="9"/>
            <color indexed="81"/>
            <rFont val="Tahoma"/>
            <family val="2"/>
          </rPr>
          <t>Rob Squire:</t>
        </r>
        <r>
          <rPr>
            <sz val="9"/>
            <color indexed="81"/>
            <rFont val="Tahoma"/>
            <family val="2"/>
          </rPr>
          <t xml:space="preserve">
Purchase of ASML
Date of Purchase 10/9/24
Prior to the sale  
# of shares in account 0
Cost basis per share N/A
This action  
Shares purchased 10
Price per share 838.6987
Principal amount $8,386.99
Fees $0.00
Total paid $8,386.99
After the purchase  
New total # of shares in account 10
Cost basis per share  838.6987
--------------------------------------------
Purchase of ASML
Date of Purchase 10/18/24
Prior to the sale  
# of shares in account 10
Cost basis per share 838.6987
This action  
Shares purchased 10
Price per share 719.6903
Principal amount $7,196.90
Fees $0.00
Total paid $7,196.90
After the purchase  
New total # of shares in account 20
Cost basis per share  779.19
</t>
        </r>
      </text>
    </comment>
    <comment ref="IE107" authorId="0" shapeId="0" xr:uid="{BD12284B-31CC-4282-979F-BE5EE1C6D946}">
      <text>
        <r>
          <rPr>
            <b/>
            <sz val="9"/>
            <color indexed="81"/>
            <rFont val="Tahoma"/>
            <family val="2"/>
          </rPr>
          <t>Rob Squire:</t>
        </r>
        <r>
          <rPr>
            <sz val="9"/>
            <color indexed="81"/>
            <rFont val="Tahoma"/>
            <family val="2"/>
          </rPr>
          <t xml:space="preserve">
Sale of EA
Date of Sale 8/26/24
Prior to the sale  
# of shares in account 150
Cost basis per share 121.28
This action  
Shares sold 25
Price per share 148.696
Principal amount $3,717.40
Fees $0.11
Total received $3,717.29
Cost basis of shares sold $3,032.00
Profit (loss) $685.29 
After the sale  
Total # of shares remaining 125
Cost basis per share remains at 118.09
-------------------------------------------------
Sale of EA
Date of Sale 9/16/24
Prior to the sale  
# of shares in account 125
Cost basis per share 118.09
This action  
Shares sold 125
Price per share 145.8631
Principal amount $18,232.89
Fees $0.51
Total received $18,232.38
Cost basis of shares sold $14,761.25
Profit (loss) $3,471.13 
After the sale  
Total # of shares remaining 0
Cost basis per share remains at 0
</t>
        </r>
      </text>
    </comment>
    <comment ref="IQ107" authorId="0" shapeId="0" xr:uid="{D80E74DB-C89F-4A02-B8F2-05501E8B9FC2}">
      <text>
        <r>
          <rPr>
            <b/>
            <sz val="9"/>
            <color indexed="81"/>
            <rFont val="Tahoma"/>
            <family val="2"/>
          </rPr>
          <t>Rob Squire:</t>
        </r>
        <r>
          <rPr>
            <sz val="9"/>
            <color indexed="81"/>
            <rFont val="Tahoma"/>
            <family val="2"/>
          </rPr>
          <t xml:space="preserve">
Sale of HON
Date of Sale 10/9/24
Prior to the sale  
# of shares in account 45
Cost basis per share 209.46
This action  
Shares sold 45
Price per share 210.9384
Principal amount $9,492.23
Fees $0.27
Total received $9,491.96
Cost basis of shares sold $9,425.70
Profit (loss) $66.26 
After the sale  
Total # of shares remaining 0
Cost basis per share remains at 0
</t>
        </r>
      </text>
    </comment>
    <comment ref="JB107" authorId="0" shapeId="0" xr:uid="{FFFA7B49-BCC2-475D-9797-2D79C967FE98}">
      <text>
        <r>
          <rPr>
            <b/>
            <sz val="9"/>
            <color indexed="81"/>
            <rFont val="Tahoma"/>
            <family val="2"/>
          </rPr>
          <t>Rob Squire:</t>
        </r>
        <r>
          <rPr>
            <sz val="9"/>
            <color indexed="81"/>
            <rFont val="Tahoma"/>
            <family val="2"/>
          </rPr>
          <t xml:space="preserve">
Purchase of LINE
Date of Purchase 10/10/24
Prior to the sale  
# of shares in account 0
Cost basis per share N/A
This action  
Shares purchased 190
Price per share 74.1215
Principal amount $14,083.09
Fees $0.00
Total paid $14,083.09
After the purchase  
New total # of shares in account 190
Cost basis per share  74.1215
</t>
        </r>
      </text>
    </comment>
    <comment ref="JE107" authorId="0" shapeId="0" xr:uid="{AEBB0CD2-DFA8-4D7E-A7DA-BD1735110260}">
      <text>
        <r>
          <rPr>
            <b/>
            <sz val="9"/>
            <color indexed="81"/>
            <rFont val="Tahoma"/>
            <family val="2"/>
          </rPr>
          <t>Rob Squire:</t>
        </r>
        <r>
          <rPr>
            <sz val="9"/>
            <color indexed="81"/>
            <rFont val="Tahoma"/>
            <family val="2"/>
          </rPr>
          <t xml:space="preserve">
Purchase of LULU
Date of Purchase 9/16/24
Prior to the sale  
# of shares in account 0
Cost basis per share N/A
This action  
Shares purchased 65
Price per share 263.8651
Principal amount $17,151.23
Fees $0.00
Total paid $17,151.23
After the purchase  
New total # of shares in account 65
Cost basis per share  263.8651
</t>
        </r>
      </text>
    </comment>
    <comment ref="JW107" authorId="0" shapeId="0" xr:uid="{1AC00172-AC01-4946-8E29-A1652968D3C4}">
      <text>
        <r>
          <rPr>
            <b/>
            <sz val="9"/>
            <color indexed="81"/>
            <rFont val="Tahoma"/>
            <family val="2"/>
          </rPr>
          <t>Rob Squire:</t>
        </r>
        <r>
          <rPr>
            <sz val="9"/>
            <color indexed="81"/>
            <rFont val="Tahoma"/>
            <family val="2"/>
          </rPr>
          <t xml:space="preserve">
Purchase of UBER
Date of Purchase 8/26/24
Prior to the sale  
# of shares in account 185
Cost basis per share 67.6729
This action  
Shares purchased 15
Price per share 72.4783
Principal amount $1,087.17
Fees $0.00
Total paid $1,087.17
After the purchase  
New total # of shares in account 200
Cost basis per share  68.03
</t>
        </r>
      </text>
    </comment>
    <comment ref="JX107" authorId="0" shapeId="0" xr:uid="{B4EE1C65-BE34-4D91-B791-A390B5583C97}">
      <text>
        <r>
          <rPr>
            <b/>
            <sz val="9"/>
            <color indexed="81"/>
            <rFont val="Tahoma"/>
            <family val="2"/>
          </rPr>
          <t>Rob Squire:</t>
        </r>
        <r>
          <rPr>
            <sz val="9"/>
            <color indexed="81"/>
            <rFont val="Tahoma"/>
            <family val="2"/>
          </rPr>
          <t xml:space="preserve">
Sale of UNH
Date of Sale 9/9/24
Prior to the sale  
# of shares in account 50
Cost basis per share 382.93
This action  
Shares sold 5
Price per share 592.6962
Principal amount $2,963.48
Fees $0.09
Total received $2,963.39
Cost basis of shares sold $1,914.65
Profit (loss) $1,048.74 
After the sale  
Total # of shares remaining 45
Cost basis per share remains at 378.08
</t>
        </r>
      </text>
    </comment>
    <comment ref="KB107" authorId="0" shapeId="0" xr:uid="{FA82B29A-7D30-4454-A770-D17AF6B9736A}">
      <text>
        <r>
          <rPr>
            <b/>
            <sz val="9"/>
            <color indexed="81"/>
            <rFont val="Tahoma"/>
            <family val="2"/>
          </rPr>
          <t>Rob Squire:</t>
        </r>
        <r>
          <rPr>
            <sz val="9"/>
            <color indexed="81"/>
            <rFont val="Tahoma"/>
            <family val="2"/>
          </rPr>
          <t xml:space="preserve">
Purchase of UTHR
Date of Purchase 8/22/24
Prior to the sale  
# of shares in account 0
Cost basis per share N/A
This action  
Shares purchased 21
Price per share 346.6001
Principal amount $7,278.60
Fees $0.00
Total paid $7,278.60
After the purchase  
New total # of shares in account 21
Cost basis per share  346.6001
---------------------------------------------
Purchase of UTHR
Date of Purchase 9/9/24
Prior to the sale  
# of shares in account 21
Cost basis per share 346.6001
This action  
Shares purchased 5
Price per share 347.8082
Principal amount $1,739.04
Fees $0.00
Total paid $1,739.04
After the purchase  
New total # of shares in account 26
Cost basis per share 346.83
</t>
        </r>
      </text>
    </comment>
    <comment ref="KG107" authorId="0" shapeId="0" xr:uid="{B69A57C0-CB97-42DA-874F-8A7444532C54}">
      <text>
        <r>
          <rPr>
            <b/>
            <sz val="9"/>
            <color indexed="81"/>
            <rFont val="Tahoma"/>
            <family val="2"/>
          </rPr>
          <t>Rob Squire:</t>
        </r>
        <r>
          <rPr>
            <sz val="9"/>
            <color indexed="81"/>
            <rFont val="Tahoma"/>
            <family val="2"/>
          </rPr>
          <t xml:space="preserve">
Sale of VEA
Date of Sale 10/18/24
Prior to the sale  
# of shares in account 350
Cost basis per share 43.8799
This action  
Shares sold 175
Price per share 51.7588
Principal amount $9,057.79
Fees $0.26
Total received $9,057.53
Cost basis of shares sold $7,678.98
Profit (loss) $1,378.55 
After the sale  
Total # of shares remaining 175
Cost basis per share remains at 43.8799
</t>
        </r>
      </text>
    </comment>
    <comment ref="KL107" authorId="0" shapeId="0" xr:uid="{B1C75B6B-71FF-4325-A687-53B0B4E355C2}">
      <text>
        <r>
          <rPr>
            <b/>
            <sz val="9"/>
            <color indexed="81"/>
            <rFont val="Tahoma"/>
            <family val="2"/>
          </rPr>
          <t>Rob Squire:</t>
        </r>
        <r>
          <rPr>
            <sz val="9"/>
            <color indexed="81"/>
            <rFont val="Tahoma"/>
            <family val="2"/>
          </rPr>
          <t xml:space="preserve">
Sale of VNQ
Date of Sale 10/10/24
Prior to the sale  
# of shares in account 150
Cost basis per share 83.3814
This action  
Shares sold 150
Price per share 93.8296
Principal amount $14,074.44
Fees $0.40
Total received $14,074.04
Cost basis of shares sold $12,507.21
Profit (loss) $1,566.83 
After the sale  
Total # of shares remaining 0
Cost basis per share remains at 0
</t>
        </r>
      </text>
    </comment>
    <comment ref="KN107" authorId="0" shapeId="0" xr:uid="{B89CAE08-9960-4491-ACE0-4B5A7F1E1141}">
      <text>
        <r>
          <rPr>
            <b/>
            <sz val="9"/>
            <color indexed="81"/>
            <rFont val="Tahoma"/>
            <family val="2"/>
          </rPr>
          <t>Rob Squire:</t>
        </r>
        <r>
          <rPr>
            <sz val="9"/>
            <color indexed="81"/>
            <rFont val="Tahoma"/>
            <family val="2"/>
          </rPr>
          <t xml:space="preserve">
Sale of VRTX
Date of Sale 8/22/24
Prior to the sale  
# of shares in account 30
Cost basis per share 413.3
This action  
Shares sold 15
Price per share 482.6097
Principal amount $7,239.15
Fees $0.21
Total received $7,238.94
Cost basis of shares sold $6,199.50
Profit (loss) $1,039.44 
After the sale  
Total # of shares remaining 15
Cost basis per share remains at 409.86
-------------------------------------------------
Purchase of VRTX
Date of Purchase 9/9/24
Prior to the sale  
# of shares in account 15
Cost basis per share 409.86
This action  
Shares purchased 5
Price per share 470.9
Principal amount $2,354.50
Fees $0.00
Total paid $2,354.50
After the purchase  
New total # of shares in account 20
Cost basis per share  425.12
</t>
        </r>
      </text>
    </comment>
    <comment ref="LE107" authorId="0" shapeId="0" xr:uid="{A42C8B6A-032F-4017-9BE0-1F8B53FAF35A}">
      <text>
        <r>
          <rPr>
            <b/>
            <sz val="9"/>
            <color indexed="81"/>
            <rFont val="Tahoma"/>
            <family val="2"/>
          </rPr>
          <t>Rob Squire:</t>
        </r>
        <r>
          <rPr>
            <sz val="9"/>
            <color indexed="81"/>
            <rFont val="Tahoma"/>
            <family val="2"/>
          </rPr>
          <t xml:space="preserve">
Sale of 1.5% Tnotes
Date of Sale 9/30/24
Prior to the sale  
# of shares in account 9,000
Cost basis per share 0.96191406
This action  
Shares sold 9,000
Price per share 1
Principal amount $9,000.00
Fees $0.07
Total received $8,999.93
Cost basis of shares sold $8,657.23
Profit (loss) $342.70 
After the sale  
Total # of shares remaining 0
Cost basis per share remains at 0
----------------------------------------------------------------
Purchase of 3.0% TNotes
Date of Purchase 9/30/24
Prior to the sale  
# of shares in account 0
Cost basis per share N/A
This action  
Shares purchased 9,000
Price per share 0.990665
Principal amount $8,915.99
Fees $0.74
Total paid $8,916.73
After the purchase  
New total # of shares in account 9,000
Cost basis per share  0.990665
</t>
        </r>
      </text>
    </comment>
    <comment ref="LZ107" authorId="0" shapeId="0" xr:uid="{2D674854-4D99-4843-B6AF-FBB61D33F203}">
      <text>
        <r>
          <rPr>
            <b/>
            <sz val="9"/>
            <color indexed="81"/>
            <rFont val="Tahoma"/>
            <family val="2"/>
          </rPr>
          <t>Rob Squire:</t>
        </r>
        <r>
          <rPr>
            <sz val="9"/>
            <color indexed="81"/>
            <rFont val="Tahoma"/>
            <family val="2"/>
          </rPr>
          <t xml:space="preserve">
Purchase of ICSH
Date of Purchase 8/26/24
Prior to the sale  
# of shares in account 55
Cost basis per share 50.37
This action  
Shares purchased 40
Price per share 50.67
Principal amount $2,026.80
Fees $0.00
Total paid $2,026.80
After the purchase  
New total # of shares in account 95
Cost basis per share  50.5
-----------------------------------------------
Purchase of ICSH
Date of Purchase 9/9/24
Prior to the sale  
# of shares in account 95
Cost basis per share 50.5
This action  
Shares purchased 25
Price per share 50.5948
Principal amount $1,264.87
Fees $0.00
Total paid $1,264.87
After the purchase  
New total # of shares in account 120
Cost basis per share  50.52
</t>
        </r>
      </text>
    </comment>
    <comment ref="MG107" authorId="0" shapeId="0" xr:uid="{F881D831-EC1D-40C7-B504-9E46B2A87435}">
      <text>
        <r>
          <rPr>
            <b/>
            <sz val="9"/>
            <color indexed="81"/>
            <rFont val="Tahoma"/>
            <family val="2"/>
          </rPr>
          <t>Rob Squire:</t>
        </r>
        <r>
          <rPr>
            <sz val="9"/>
            <color indexed="81"/>
            <rFont val="Tahoma"/>
            <family val="2"/>
          </rPr>
          <t xml:space="preserve">
Purchase of LINE
Date of Purchase 10/10/24
Prior to the sale  
# of shares in account 0
Cost basis per share N/A
This action  
Shares purchased 65
Price per share 74.1215
Principal amount $4,817.90
Fees $0.00
Total paid $4,817.90
After the purchase  
New total # of shares in account 65
Cost basis per share  74.1215
</t>
        </r>
      </text>
    </comment>
    <comment ref="MN107" authorId="0" shapeId="0" xr:uid="{34A2A497-EE31-43F0-8A68-4CDF620B6BAF}">
      <text>
        <r>
          <rPr>
            <b/>
            <sz val="9"/>
            <color indexed="81"/>
            <rFont val="Tahoma"/>
            <family val="2"/>
          </rPr>
          <t>Rob Squire:</t>
        </r>
        <r>
          <rPr>
            <sz val="9"/>
            <color indexed="81"/>
            <rFont val="Tahoma"/>
            <family val="2"/>
          </rPr>
          <t xml:space="preserve">
Sale of PG
Date of Sale 8/22/24
Prior to the sale  
# of shares in account 55
Cost basis per share 139.46
This action  
Shares sold 10
Price per share 168.4
Principal amount $1,684.00
Fees $0.05
Total received $1,683.95
Cost basis of shares sold $1,394.60
Profit (loss) $289.35 
After the sale  
Total # of shares remaining 45
Cost basis per share remains at 137.93
</t>
        </r>
      </text>
    </comment>
    <comment ref="MQ107" authorId="0" shapeId="0" xr:uid="{1256D087-E4D1-4E04-A3BC-6F251D4A9155}">
      <text>
        <r>
          <rPr>
            <b/>
            <sz val="9"/>
            <color indexed="81"/>
            <rFont val="Tahoma"/>
            <family val="2"/>
          </rPr>
          <t>Rob Squire:</t>
        </r>
        <r>
          <rPr>
            <sz val="9"/>
            <color indexed="81"/>
            <rFont val="Tahoma"/>
            <family val="2"/>
          </rPr>
          <t xml:space="preserve">
Sale of PPL
Date of Sale 8/26/24
Prior to the sale  
# of shares in account 275
Cost basis per share 28.56
This action  
Shares sold 50
Price per share 31.8741
Principal amount $1,593.71
Fees $0.05
Total received $1,593.66
Cost basis of shares sold $1,428.00
Profit (loss) $165.66 
After the sale  
Total # of shares remaining 225
Cost basis per share remains at 28.5
</t>
        </r>
      </text>
    </comment>
    <comment ref="NG107" authorId="0" shapeId="0" xr:uid="{6799A2CD-EDDD-4121-BF9E-0FA0C32B3048}">
      <text>
        <r>
          <rPr>
            <b/>
            <sz val="9"/>
            <color indexed="81"/>
            <rFont val="Tahoma"/>
            <family val="2"/>
          </rPr>
          <t>Rob Squire:</t>
        </r>
        <r>
          <rPr>
            <sz val="9"/>
            <color indexed="81"/>
            <rFont val="Tahoma"/>
            <family val="2"/>
          </rPr>
          <t xml:space="preserve">
Purchase of VEA
Date of Purchase 8/22/24
Prior to the sale  
# of shares in account 275
Cost basis per share 51.26
This action  
Shares purchased 25
Price per share 51.42
Principal amount $1,285.50
Fees $0.00
Total paid $1,285.50
After the purchase  
New total # of shares in account 300
Cost basis per share  51.28
</t>
        </r>
      </text>
    </comment>
    <comment ref="NH107" authorId="0" shapeId="0" xr:uid="{E5476D98-D3BC-4D6D-AA03-B1BA206FBB58}">
      <text>
        <r>
          <rPr>
            <b/>
            <sz val="9"/>
            <color indexed="81"/>
            <rFont val="Tahoma"/>
            <family val="2"/>
          </rPr>
          <t>Rob Squire:</t>
        </r>
        <r>
          <rPr>
            <sz val="9"/>
            <color indexed="81"/>
            <rFont val="Tahoma"/>
            <family val="2"/>
          </rPr>
          <t xml:space="preserve">
Sale of VNQ
Date of Sale 10/10/24
Prior to the sale  
# of shares in account 55
Cost basis per share 98.06
This action  
Shares sold 55
Price per share 93.8296
Principal amount $5,160.63
Fees $0.15
Total received $5,160.48
Cost basis of shares sold $5,393.30
Profit (loss) ($232.82)
After the sale  
Total # of shares remaining 0
Cost basis per share remains at 0
</t>
        </r>
      </text>
    </comment>
    <comment ref="S108" authorId="0" shapeId="0" xr:uid="{66F7E169-AB34-4471-9623-A338541B480C}">
      <text>
        <r>
          <rPr>
            <b/>
            <sz val="9"/>
            <color indexed="81"/>
            <rFont val="Tahoma"/>
            <family val="2"/>
          </rPr>
          <t>Rob Squire:</t>
        </r>
        <r>
          <rPr>
            <sz val="9"/>
            <color indexed="81"/>
            <rFont val="Tahoma"/>
            <family val="2"/>
          </rPr>
          <t xml:space="preserve">
Transfer of VEA
Date of Transfer 12/2/24
Transferred to  
Joint Mgd - Equities 3177
Prior to the sale  
# of shares in account 300
Cost basis per share 41.87
This action  
Shares transferred 175
Price per share Enter price
Principal amount #VALUE!
Fees $0.00
Total paid #VALUE!
After the purchase  
New total # of shares in account 475
Cost basis per share  45.07
Note:  shares were transferred from
Rob's IRA Mgd - Equities 0965
</t>
        </r>
      </text>
    </comment>
    <comment ref="T108" authorId="0" shapeId="0" xr:uid="{2AA8664A-F472-4C36-9873-9A3586D83FEF}">
      <text>
        <r>
          <rPr>
            <b/>
            <sz val="9"/>
            <color indexed="81"/>
            <rFont val="Tahoma"/>
            <family val="2"/>
          </rPr>
          <t>Rob Squire:</t>
        </r>
        <r>
          <rPr>
            <sz val="9"/>
            <color indexed="81"/>
            <rFont val="Tahoma"/>
            <family val="2"/>
          </rPr>
          <t xml:space="preserve">
Sale of VSS
Date of Sale 10/31/24
Prior to the sale  
# of shares in account 90
Cost basis per share 108.1
This action  
Shares sold 30
Price per share 120.075
Principal amount $3,602.25
Fees $0.11
Total received $3,602.14
Cost basis of shares sold $3,243.00
Profit (loss) $359.14 
After the sale  
Total # of shares remaining 60
Cost basis per share remains at 109.33
</t>
        </r>
      </text>
    </comment>
    <comment ref="BS108" authorId="0" shapeId="0" xr:uid="{13D5EB99-45AE-4F15-856A-9DA7541875E1}">
      <text>
        <r>
          <rPr>
            <b/>
            <sz val="9"/>
            <color indexed="81"/>
            <rFont val="Tahoma"/>
            <family val="2"/>
          </rPr>
          <t>Rob Squire:</t>
        </r>
        <r>
          <rPr>
            <sz val="9"/>
            <color indexed="81"/>
            <rFont val="Tahoma"/>
            <family val="2"/>
          </rPr>
          <t xml:space="preserve">
Purchase of MCHI
Date of Purchase 11/11/24
Prior to the sale  
# of shares in account 0
Cost basis per share N/A
This action  
Shares purchased 200
Price per share 49.5156
Principal amount $9,903.12
Fees $0.00
Total paid $9,903.12
After the purchase  
New total # of shares in account 200
Cost basis per share  49.5156
</t>
        </r>
      </text>
    </comment>
    <comment ref="BX108" authorId="0" shapeId="0" xr:uid="{23748024-4D5C-4663-80C4-B39B6B5794E1}">
      <text>
        <r>
          <rPr>
            <b/>
            <sz val="9"/>
            <color indexed="81"/>
            <rFont val="Tahoma"/>
            <family val="2"/>
          </rPr>
          <t>Rob Squire:</t>
        </r>
        <r>
          <rPr>
            <sz val="9"/>
            <color indexed="81"/>
            <rFont val="Tahoma"/>
            <family val="2"/>
          </rPr>
          <t xml:space="preserve">
Sale of PEG
Date of Sale 11/20/24
Prior to the sale  
# of shares in account 110
Cost basis per share 61.91
This action  
Shares sold 30
Price per share 90.6183
Principal amount $2,718.55
Fees $0.08
Total received $2,718.47
Cost basis of shares sold $1,857.30
Profit (loss) $861.17 
After the sale  
Total # of shares remaining 80
Cost basis per share remains at 61.55
</t>
        </r>
      </text>
    </comment>
    <comment ref="BY108" authorId="0" shapeId="0" xr:uid="{B1CAC8FC-BEE3-4DE4-896F-FD0722243AC7}">
      <text>
        <r>
          <rPr>
            <b/>
            <sz val="9"/>
            <color indexed="81"/>
            <rFont val="Tahoma"/>
            <family val="2"/>
          </rPr>
          <t>Rob Squire:</t>
        </r>
        <r>
          <rPr>
            <sz val="9"/>
            <color indexed="81"/>
            <rFont val="Tahoma"/>
            <family val="2"/>
          </rPr>
          <t xml:space="preserve">
Sale of PG
Date of Sale 12/2/24
Prior to the sale  
# of shares in account 45
Cost basis per share 137.93
This action  
Shares sold 5
Price per share 179.6542
Principal amount $898.27
Fees $0.03
Total received $898.24
Cost basis of shares sold $689.65
Profit (loss) $208.59 
After the sale  
Total # of shares remaining 40
Cost basis per share remains at 137.93
</t>
        </r>
      </text>
    </comment>
    <comment ref="CG108" authorId="0" shapeId="0" xr:uid="{DD6D40ED-F069-455F-B487-27623C6EFBA5}">
      <text>
        <r>
          <rPr>
            <b/>
            <sz val="9"/>
            <color indexed="81"/>
            <rFont val="Tahoma"/>
            <family val="2"/>
          </rPr>
          <t>Rob Squire:</t>
        </r>
        <r>
          <rPr>
            <sz val="9"/>
            <color indexed="81"/>
            <rFont val="Tahoma"/>
            <family val="2"/>
          </rPr>
          <t xml:space="preserve">
Purchase of UBER
Date of Purchase 11/13/24
Prior to the sale  
# of shares in account 200
Cost basis per share 68.03
This action  
Shares purchased 50
Price per share 71.1387
Principal amount $3,556.94
Fees $0.00
Total paid $3,556.94
After the purchase  
New total # of shares in account 250
Cost basis per share  Enter basis
------------------------------------------------
Purchase of UBER
Date of Purchase 11/20/24
Prior to the sale  
# of shares in account 250
Cost basis per share Enter basis
This action  
Shares purchased 50
Price per share 69.4741
Principal amount $3,473.71
Fees $0.00
Total paid $3,473.71
After the purchase  
New total # of shares in account 300
Cost basis per share  68.79
</t>
        </r>
      </text>
    </comment>
    <comment ref="CM108" authorId="0" shapeId="0" xr:uid="{55CFE2E7-602A-45E6-B945-C7EE1338D87E}">
      <text>
        <r>
          <rPr>
            <b/>
            <sz val="9"/>
            <color indexed="81"/>
            <rFont val="Tahoma"/>
            <family val="2"/>
          </rPr>
          <t>Rob Squire:</t>
        </r>
        <r>
          <rPr>
            <sz val="9"/>
            <color indexed="81"/>
            <rFont val="Tahoma"/>
            <family val="2"/>
          </rPr>
          <t xml:space="preserve">
Purchase of VEA
Date of Purchase 11/4/24
Prior to the sale  
# of shares in account 300
Cost basis per share 51.28
This action  
Shares purchased 25
Price per share 50.33
Principal amount $1,258.25
Fees $0.00
Total paid $1,258.25
After the purchase  
New total # of shares in account 325
Cost basis per share  Enter basis
-------------------------------------------------------
Purchase of VEA
Date of Purchase 11/20/24
Prior to the sale  
# of shares in account 325
Cost basis per share 49.0976
This action  
Shares purchased 50
Price per share 49.0976
Principal amount $2,454.88
Fees $0.00
Total paid $2,454.88
After the purchase  
New total # of shares in account 375
Cost basis per share  50.92
</t>
        </r>
      </text>
    </comment>
    <comment ref="CV108" authorId="0" shapeId="0" xr:uid="{A78E4784-3354-4C2A-B14F-0BC2E037F877}">
      <text>
        <r>
          <rPr>
            <b/>
            <sz val="9"/>
            <color indexed="81"/>
            <rFont val="Tahoma"/>
            <family val="2"/>
          </rPr>
          <t>Rob Squire:</t>
        </r>
        <r>
          <rPr>
            <sz val="9"/>
            <color indexed="81"/>
            <rFont val="Tahoma"/>
            <family val="2"/>
          </rPr>
          <t xml:space="preserve">
Purchase of WM
Date of Purchase 11/5/24
Prior to the sale  
# of shares in account 70
Cost basis per share 114.4523
This action  
Shares purchased 10
Price per share 215.3198
Principal amount $2,153.20
Fees $0.00
Total paid $2,153.20
After the purchase  
New total # of shares in account 80
Cost basis per share  127.06
</t>
        </r>
      </text>
    </comment>
    <comment ref="GE108" authorId="0" shapeId="0" xr:uid="{6F32B2E5-4EA8-4465-B2E6-9189CAC9E760}">
      <text>
        <r>
          <rPr>
            <b/>
            <sz val="9"/>
            <color indexed="81"/>
            <rFont val="Tahoma"/>
            <family val="2"/>
          </rPr>
          <t>Rob Squire:</t>
        </r>
        <r>
          <rPr>
            <sz val="9"/>
            <color indexed="81"/>
            <rFont val="Tahoma"/>
            <family val="2"/>
          </rPr>
          <t xml:space="preserve">
Sale of NSRGY
Date of Sale 11/13/24
Prior to the sale  
# of shares in account 80
Cost basis per share 103.0958
This action  
Shares sold 80
Price per share 87.5177
Principal amount $7,001.42
Fees $0.20
Total received $7,001.22
Cost basis of shares sold $8,247.66
Profit (loss) ($1,246.45)
After the sale  
Total # of shares remaining 0
Cost basis per share remains at 0
</t>
        </r>
      </text>
    </comment>
    <comment ref="GI108" authorId="0" shapeId="0" xr:uid="{71BAFA8F-E4FC-4AC6-97FB-CB555F8AC8BB}">
      <text>
        <r>
          <rPr>
            <b/>
            <sz val="9"/>
            <color indexed="81"/>
            <rFont val="Tahoma"/>
            <family val="2"/>
          </rPr>
          <t>Rob Squire:</t>
        </r>
        <r>
          <rPr>
            <sz val="9"/>
            <color indexed="81"/>
            <rFont val="Tahoma"/>
            <family val="2"/>
          </rPr>
          <t xml:space="preserve">
Sale of PG
Date of Sale 10/31/24
Prior to the sale  
# of shares in account 50
Cost basis per share 153.91
This action  
Shares sold 15
Price per share 165.3
Principal amount $2,479.50
Fees $0.07
Total received $2,479.43
Cost basis of shares sold $2,308.65
Profit (loss) $170.78 
After the sale  
Total # of shares remaining 35
Cost basis per share remains at 155.66
</t>
        </r>
      </text>
    </comment>
    <comment ref="GT108" authorId="0" shapeId="0" xr:uid="{B20B625C-5166-4155-B6D9-71ABF8F7C042}">
      <text>
        <r>
          <rPr>
            <b/>
            <sz val="9"/>
            <color indexed="81"/>
            <rFont val="Tahoma"/>
            <family val="2"/>
          </rPr>
          <t>Rob Squire:</t>
        </r>
        <r>
          <rPr>
            <sz val="9"/>
            <color indexed="81"/>
            <rFont val="Tahoma"/>
            <family val="2"/>
          </rPr>
          <t xml:space="preserve">
Transfer of VEA
Date of Transfer 12/2/24
Transferred to  
Joint Mgd - Equities 3177
Prior to the sale  
# of shares in account 300
Cost basis per share 41.87
This action  
Shares transferred 175
Price per share Enter price
Principal amount #VALUE!
Fees $0.00
Total paid #VALUE!
After the purchase  
New total # of shares in account 475
Cost basis per share  45.07
Note:  shares were transferred from
Rob's IRA Mgd - Equities 0965
</t>
        </r>
      </text>
    </comment>
    <comment ref="GV108" authorId="0" shapeId="0" xr:uid="{8A3E8031-91C1-4FEA-8BF0-2819318A782E}">
      <text>
        <r>
          <rPr>
            <b/>
            <sz val="9"/>
            <color indexed="81"/>
            <rFont val="Tahoma"/>
            <family val="2"/>
          </rPr>
          <t>Rob Squire:</t>
        </r>
        <r>
          <rPr>
            <sz val="9"/>
            <color indexed="81"/>
            <rFont val="Tahoma"/>
            <family val="2"/>
          </rPr>
          <t xml:space="preserve">
Sale of VSS
Date of Sale 10/31/24
Prior to the sale  
# of shares in account 90
Cost basis per share 108.1
This action  
Shares sold 30
Price per share 120.075
Principal amount $3,602.25
Fees $0.11
Total received $3,602.14
Cost basis of shares sold $3,243.00
Profit (loss) $359.14 
After the sale  
Total # of shares remaining 60
Cost basis per share remains at 109.33
</t>
        </r>
      </text>
    </comment>
    <comment ref="HW108" authorId="0" shapeId="0" xr:uid="{8651A031-D271-451D-8A97-CF1B370D5949}">
      <text>
        <r>
          <rPr>
            <b/>
            <sz val="9"/>
            <color indexed="81"/>
            <rFont val="Tahoma"/>
            <family val="2"/>
          </rPr>
          <t>Rob Squire:</t>
        </r>
        <r>
          <rPr>
            <sz val="9"/>
            <color indexed="81"/>
            <rFont val="Tahoma"/>
            <family val="2"/>
          </rPr>
          <t xml:space="preserve">
Purchase of CPB
Date of Purchase 11/13/24
Prior to the sale  
# of shares in account 0
Cost basis per share N/A
This action  
Shares purchased 175
Price per share 44.0867
Principal amount $7,715.17
Fees $0.00
Total paid $7,715.17
After the purchase  
New total # of shares in account 175
Cost basis per share  44.0867
</t>
        </r>
      </text>
    </comment>
    <comment ref="IL108" authorId="0" shapeId="0" xr:uid="{5F743D9B-3C16-483C-8666-7F44F26756F5}">
      <text>
        <r>
          <rPr>
            <b/>
            <sz val="9"/>
            <color indexed="81"/>
            <rFont val="Tahoma"/>
            <family val="2"/>
          </rPr>
          <t>Rob Squire:</t>
        </r>
        <r>
          <rPr>
            <sz val="9"/>
            <color indexed="81"/>
            <rFont val="Tahoma"/>
            <family val="2"/>
          </rPr>
          <t xml:space="preserve">
Sale of GEHC
Date of Sale 10/28/24
Prior to the sale  
# of shares in account 200
Cost basis per share 69.06
This action  
Shares sold 100
Price per share 85.4126
Principal amount $8,541.26
Fees $0.24
Total received $8,541.02
Cost basis of shares sold $6,906.00
Profit (loss) $1,635.02 
After the sale  
Total # of shares remaining 100
Cost basis per share remains at 71.69
</t>
        </r>
      </text>
    </comment>
    <comment ref="JH108" authorId="0" shapeId="0" xr:uid="{C9524E7F-E956-42C4-BEA4-F74128D0AED4}">
      <text>
        <r>
          <rPr>
            <b/>
            <sz val="9"/>
            <color indexed="81"/>
            <rFont val="Tahoma"/>
            <family val="2"/>
          </rPr>
          <t>Rob Squire:</t>
        </r>
        <r>
          <rPr>
            <sz val="9"/>
            <color indexed="81"/>
            <rFont val="Tahoma"/>
            <family val="2"/>
          </rPr>
          <t xml:space="preserve">
Purchase of MCHI
Date of Purchase 11/11/24
Prior to the sale  
# of shares in account 0
Cost basis per share N/A
This action  
Shares purchased 200
Price per share 49.5156
Principal amount $9,903.12
Fees $0.00
Total paid $9,903.12
After the purchase  
New total # of shares in account 200
Cost basis per share  49.5156
</t>
        </r>
      </text>
    </comment>
    <comment ref="JM108" authorId="0" shapeId="0" xr:uid="{1A730034-1CBA-4A7B-A6BE-82147814274D}">
      <text>
        <r>
          <rPr>
            <b/>
            <sz val="9"/>
            <color indexed="81"/>
            <rFont val="Tahoma"/>
            <family val="2"/>
          </rPr>
          <t>Rob Squire:</t>
        </r>
        <r>
          <rPr>
            <sz val="9"/>
            <color indexed="81"/>
            <rFont val="Tahoma"/>
            <family val="2"/>
          </rPr>
          <t xml:space="preserve">
Sale of MTCH
Date of Sale 11/7/24
Prior to the sale  
# of shares in account 375
Cost basis per share 35.8195
This action  
Shares sold 375
Price per share 31.3553
Principal amount $11,758.24
Fees $0.07
Total received $11,758.17
Cost basis of shares sold $13,432.31
Profit (loss) ($1,674.15)
After the sale  
Total # of shares remaining 0
Cost basis per share remains at 0
</t>
        </r>
      </text>
    </comment>
    <comment ref="JR108" authorId="0" shapeId="0" xr:uid="{26B28AE8-FAAC-4AF6-A56A-9363DCAE7E13}">
      <text>
        <r>
          <rPr>
            <b/>
            <sz val="9"/>
            <color indexed="81"/>
            <rFont val="Tahoma"/>
            <family val="2"/>
          </rPr>
          <t>Rob Squire:</t>
        </r>
        <r>
          <rPr>
            <sz val="9"/>
            <color indexed="81"/>
            <rFont val="Tahoma"/>
            <family val="2"/>
          </rPr>
          <t xml:space="preserve">
Purchase of PG
Date of Purchase 11/5/24
Prior to the sale  
# of shares in account 0
Cost basis per share N/A
This action  
Shares purchased 35
Price per share 165.78
Principal amount $5,802.30
Fees $0.00
Total paid $5,802.30
After the purchase  
New total # of shares in account 35
Cost basis per share  165.78
</t>
        </r>
      </text>
    </comment>
    <comment ref="JS108" authorId="0" shapeId="0" xr:uid="{00B6693C-0A6B-4752-8A90-78484ADE89BA}">
      <text>
        <r>
          <rPr>
            <b/>
            <sz val="9"/>
            <color indexed="81"/>
            <rFont val="Tahoma"/>
            <family val="2"/>
          </rPr>
          <t>Rob Squire:</t>
        </r>
        <r>
          <rPr>
            <sz val="9"/>
            <color indexed="81"/>
            <rFont val="Tahoma"/>
            <family val="2"/>
          </rPr>
          <t xml:space="preserve">
Sale of PPL
Date of Sale 11/20/24
Prior to the sale  
# of shares in account 550
Cost basis per share 28.955
This action  
Shares sold 100
Price per share 34.2549
Principal amount $3,425.49
Fees $0.10
Total received $3,425.39
Cost basis of shares sold $2,895.50
Profit (loss) $529.89 
After the sale  
Total # of shares remaining 450
Cost basis per share remains at 28.955
</t>
        </r>
      </text>
    </comment>
    <comment ref="JW108" authorId="0" shapeId="0" xr:uid="{43DDEDD1-19C5-40EC-A137-CEC97043D6F8}">
      <text>
        <r>
          <rPr>
            <b/>
            <sz val="9"/>
            <color indexed="81"/>
            <rFont val="Tahoma"/>
            <family val="2"/>
          </rPr>
          <t>Rob Squire:</t>
        </r>
        <r>
          <rPr>
            <sz val="9"/>
            <color indexed="81"/>
            <rFont val="Tahoma"/>
            <family val="2"/>
          </rPr>
          <t xml:space="preserve">
Purchase of UBER
Date of Purchase 11/13/24
Prior to the sale  
# of shares in account 200
Cost basis per share 68.03
This action  
Shares purchased 50
Price per share 71.1387
Principal amount $3,556.94
Fees $0.00
Total paid $3,556.94
After the purchase  
New total # of shares in account 250
Cost basis per share  Enter basis
------------------------------------------------
Purchase of UBER
Date of Purchase 11/20/24
Prior to the sale  
# of shares in account 250
Cost basis per share Enter basis
This action  
Shares purchased 50
Price per share 69.4741
Principal amount $3,473.71
Fees $0.00
Total paid $3,473.71
After the purchase  
New total # of shares in account 300
Cost basis per share  68.79
</t>
        </r>
      </text>
    </comment>
    <comment ref="KG108" authorId="0" shapeId="0" xr:uid="{E4065E17-6C2E-4C37-B3F3-E58CCB8DE3F9}">
      <text>
        <r>
          <rPr>
            <b/>
            <sz val="9"/>
            <color indexed="81"/>
            <rFont val="Tahoma"/>
            <family val="2"/>
          </rPr>
          <t>Rob Squire:</t>
        </r>
        <r>
          <rPr>
            <sz val="9"/>
            <color indexed="81"/>
            <rFont val="Tahoma"/>
            <family val="2"/>
          </rPr>
          <t xml:space="preserve">
Transfer of VEA
Date of Transfer 12/2/24
Account 1 Transferred from  
Rob's IRA Mgd - Equities 0965
Prior to the transfer  
# of shares in account 175
Cost basis per share 43.8799
This action  
Shares transferred 175
Price per share Enter price
Principal amount #VALUE!
Fees $0.07
Cost basis of shares sold $7,678.98
After the transfer  
Total # of shares remaining 0
Cost basis per share remains at 0
Note:  shares were transferred to  
Joint Mgd - Equities 3177
</t>
        </r>
      </text>
    </comment>
    <comment ref="KQ108" authorId="0" shapeId="0" xr:uid="{1C3033A1-8120-415F-AE72-90C8CBEDDE63}">
      <text>
        <r>
          <rPr>
            <b/>
            <sz val="9"/>
            <color indexed="81"/>
            <rFont val="Tahoma"/>
            <family val="2"/>
          </rPr>
          <t>Rob Squire:</t>
        </r>
        <r>
          <rPr>
            <sz val="9"/>
            <color indexed="81"/>
            <rFont val="Tahoma"/>
            <family val="2"/>
          </rPr>
          <t xml:space="preserve">
Purchase of WM
Date of Purchase 11/5/24
Prior to the sale  
# of shares in account 70
Cost basis per share 114.4523
This action  
Shares purchased 10
Price per share 215.3198
Principal amount $2,153.20
Fees $0.00
Total paid $2,153.20
After the purchase  
New total # of shares in account 80
Cost basis per share  127.06
</t>
        </r>
      </text>
    </comment>
    <comment ref="KV108" authorId="0" shapeId="0" xr:uid="{29C24864-E488-43AD-B2A5-3C6333DF3FD5}">
      <text>
        <r>
          <rPr>
            <b/>
            <sz val="9"/>
            <color indexed="81"/>
            <rFont val="Tahoma"/>
            <family val="2"/>
          </rPr>
          <t>Rob Squire:</t>
        </r>
        <r>
          <rPr>
            <sz val="9"/>
            <color indexed="81"/>
            <rFont val="Tahoma"/>
            <family val="2"/>
          </rPr>
          <t xml:space="preserve">
It was discovered on 202/25 that this transaction hadn't been recorded here
Sale of ZM
Date of Sale 11/5/24
Prior to sale
# shares in acct was 250
Shares sold 50
Shares remaining in acct 200
Sale of ZM
Date of Sale 11/13/24
Prior to the sale  
# of shares in account 200
Cost basis per share ?
This action  
Shares sold 50
Price per share 85.3884
Principal amount $4,269.42
Fees $0.12
Total received $4,269.30
Cost basis of shares sold #VALUE!
Profit (loss) #VALUE!
After the sale  
Total # of shares remaining 150
Cost basis per share remains at 74.63
-----------------------------------------------
</t>
        </r>
      </text>
    </comment>
    <comment ref="LJ108" authorId="0" shapeId="0" xr:uid="{3C2E3DCD-10FD-47AC-A960-290057A51E8F}">
      <text>
        <r>
          <rPr>
            <b/>
            <sz val="9"/>
            <color indexed="81"/>
            <rFont val="Tahoma"/>
            <family val="2"/>
          </rPr>
          <t>Rob Squire:</t>
        </r>
        <r>
          <rPr>
            <sz val="9"/>
            <color indexed="81"/>
            <rFont val="Tahoma"/>
            <family val="2"/>
          </rPr>
          <t xml:space="preserve">
Sale of BBHY
Date of Sale 12/2/24
Prior to the sale  
# of shares in account 150
Cost basis per share 44.68
This action  
Shares sold 150
Price per share 46.7627
Principal amount $7,014.41
Fees $0.20
Total received $7,014.21
Cost basis of shares sold $6,702.00
Profit (loss) $312.21 
After the sale  
Total # of shares remaining 0
Cost basis per share remains at 0
</t>
        </r>
      </text>
    </comment>
    <comment ref="LN108" authorId="0" shapeId="0" xr:uid="{33389F37-B754-408F-B0BA-B597121EDBD7}">
      <text>
        <r>
          <rPr>
            <b/>
            <sz val="9"/>
            <color indexed="81"/>
            <rFont val="Tahoma"/>
            <family val="2"/>
          </rPr>
          <t>Rob Squire:</t>
        </r>
        <r>
          <rPr>
            <sz val="9"/>
            <color indexed="81"/>
            <rFont val="Tahoma"/>
            <family val="2"/>
          </rPr>
          <t xml:space="preserve">
Purchase of CPB
Date of Purchase 11/13/24
Prior to the sale  
# of shares in account 0
Cost basis per share N/A
This action  
Shares purchased 130
Price per share 44.0867
Principal amount $5,731.27
Fees $0.00
Total paid $5,731.27
After the purchase  
New total # of shares in account 130
Cost basis per share  44.0867
</t>
        </r>
      </text>
    </comment>
    <comment ref="ML108" authorId="0" shapeId="0" xr:uid="{6638E3FA-74B8-4D27-BC6F-FCC04144E689}">
      <text>
        <r>
          <rPr>
            <b/>
            <sz val="9"/>
            <color indexed="81"/>
            <rFont val="Tahoma"/>
            <family val="2"/>
          </rPr>
          <t>Rob Squire:</t>
        </r>
        <r>
          <rPr>
            <sz val="9"/>
            <color indexed="81"/>
            <rFont val="Tahoma"/>
            <family val="2"/>
          </rPr>
          <t xml:space="preserve">
Sale of NSRGY
Date of Sale 11/13/24
Prior to the sale  
# of shares in account 65
Cost basis per share 122.19
This action  
Shares sold 65
Price per share 87.5177
Principal amount $5,688.65
Fees $0.16
Total received $5,688.49
Cost basis of shares sold $7,942.35
Profit (loss) ($2,253.86)
After the sale  
Total # of shares remaining 0
Cost basis per share remains at 0
</t>
        </r>
      </text>
    </comment>
    <comment ref="MM108" authorId="0" shapeId="0" xr:uid="{1C0A23FA-E16F-4129-87CB-CD1774082A85}">
      <text>
        <r>
          <rPr>
            <b/>
            <sz val="9"/>
            <color indexed="81"/>
            <rFont val="Tahoma"/>
            <family val="2"/>
          </rPr>
          <t>Rob Squire:</t>
        </r>
        <r>
          <rPr>
            <sz val="9"/>
            <color indexed="81"/>
            <rFont val="Tahoma"/>
            <family val="2"/>
          </rPr>
          <t xml:space="preserve">
Sale of PEG
Date of Sale 11/20/24
Prior to the sale  
# of shares in account 110
Cost basis per share 61.91
This action  
Shares sold 30
Price per share 90.6183
Principal amount $2,718.55
Fees $0.08
Total received $2,718.47
Cost basis of shares sold $1,857.30
Profit (loss) $861.17 
After the sale  
Total # of shares remaining 80
Cost basis per share remains at 61.55
</t>
        </r>
      </text>
    </comment>
    <comment ref="MN108" authorId="0" shapeId="0" xr:uid="{9D2AE2AD-14AA-4A70-A902-CF3219896152}">
      <text>
        <r>
          <rPr>
            <b/>
            <sz val="9"/>
            <color indexed="81"/>
            <rFont val="Tahoma"/>
            <family val="2"/>
          </rPr>
          <t>Rob Squire:</t>
        </r>
        <r>
          <rPr>
            <sz val="9"/>
            <color indexed="81"/>
            <rFont val="Tahoma"/>
            <family val="2"/>
          </rPr>
          <t xml:space="preserve">
Sale of PG
Date of Sale 12/2/24
Prior to the sale  
# of shares in account 45
Cost basis per share 137.93
This action  
Shares sold 5
Price per share 179.6542
Principal amount $898.27
Fees $0.03
Total received $898.24
Cost basis of shares sold $689.65
Profit (loss) $208.59 
After the sale  
Total # of shares remaining 40
Cost basis per share remains at 137.93
</t>
        </r>
      </text>
    </comment>
    <comment ref="NG108" authorId="0" shapeId="0" xr:uid="{EA604C50-425D-4465-B5B0-7D20F6827439}">
      <text>
        <r>
          <rPr>
            <b/>
            <sz val="9"/>
            <color indexed="81"/>
            <rFont val="Tahoma"/>
            <family val="2"/>
          </rPr>
          <t>Rob Squire:</t>
        </r>
        <r>
          <rPr>
            <sz val="9"/>
            <color indexed="81"/>
            <rFont val="Tahoma"/>
            <family val="2"/>
          </rPr>
          <t xml:space="preserve">
Purchase of VEA
Date of Purchase 11/4/24
Prior to the sale  
# of shares in account 300
Cost basis per share 51.28
This action  
Shares purchased 25
Price per share 50.33
Principal amount $1,258.25
Fees $0.00
Total paid $1,258.25
After the purchase  
New total # of shares in account 325
Cost basis per share  Enter basis
-------------------------------------------------------
Purchase of VEA
Date of Purchase 11/20/24
Prior to the sale  
# of shares in account 325
Cost basis per share 49.0976
This action  
Shares purchased 50
Price per share 49.0976
Principal amount $2,454.88
Fees $0.00
Total paid $2,454.88
After the purchase  
New total # of shares in account 375
Cost basis per share  50.92
</t>
        </r>
      </text>
    </comment>
    <comment ref="H109" authorId="0" shapeId="0" xr:uid="{BE6F7BAD-91E3-4056-8494-F37FA8634307}">
      <text>
        <r>
          <rPr>
            <b/>
            <sz val="9"/>
            <color indexed="81"/>
            <rFont val="Tahoma"/>
            <family val="2"/>
          </rPr>
          <t>Rob Squire:</t>
        </r>
        <r>
          <rPr>
            <sz val="9"/>
            <color indexed="81"/>
            <rFont val="Tahoma"/>
            <family val="2"/>
          </rPr>
          <t xml:space="preserve">
Purchase of GE
Date of Purchase 12/16/24
Prior to the sale  
# of shares in account 0.0000
Cost basis per share N/A
This action  
Shares purchased 50.0000
Price per share 167.6384
Principal amount $8,381.92
Fees $0.00
Total paid $8,381.92
After the purchase  
New total # of shares in account 50
Cost basis per share  167.6384
</t>
        </r>
      </text>
    </comment>
    <comment ref="K109" authorId="0" shapeId="0" xr:uid="{B72AB40A-51C1-4B38-A3A2-697C72C2A8BD}">
      <text>
        <r>
          <rPr>
            <b/>
            <sz val="9"/>
            <color indexed="81"/>
            <rFont val="Tahoma"/>
            <family val="2"/>
          </rPr>
          <t>Rob Squire:</t>
        </r>
        <r>
          <rPr>
            <sz val="9"/>
            <color indexed="81"/>
            <rFont val="Tahoma"/>
            <family val="2"/>
          </rPr>
          <t xml:space="preserve">
Sale of IJR
Date of Sale 1/2/25
Prior to the sale  
# of shares in account 150
Cost basis per share 80.68
This action  
Shares sold 10
Price per share 114.965
Principal amount $1,149.65
Fees $0.07
Total received $1,149.58
Cost basis of shares sold $806.80
Profit (loss) $342.78 
After the sale  
Total # of shares remaining 140
Cost basis per share remains at 80.68
</t>
        </r>
      </text>
    </comment>
    <comment ref="L109" authorId="0" shapeId="0" xr:uid="{BCE4D9CC-EC99-4A2B-91CB-1AAC43C79C8A}">
      <text>
        <r>
          <rPr>
            <b/>
            <sz val="9"/>
            <color indexed="81"/>
            <rFont val="Tahoma"/>
            <family val="2"/>
          </rPr>
          <t>Rob Squire:</t>
        </r>
        <r>
          <rPr>
            <sz val="9"/>
            <color indexed="81"/>
            <rFont val="Tahoma"/>
            <family val="2"/>
          </rPr>
          <t xml:space="preserve">
Sale of JPM
Date of Sale 1/2/25
Prior to the sale  
# of shares in account 70
Cost basis per share 116.46
This action  
Shares sold 10
Price per share 241.0774
Principal amount $2,410.77
Fees $0.07
Total received $2,410.70
Cost basis of shares sold $1,164.60
Profit (loss) $1,246.10 
After the sale  
Total # of shares remaining 60
Cost basis per share remains at 116.21
</t>
        </r>
      </text>
    </comment>
    <comment ref="Q109" authorId="0" shapeId="0" xr:uid="{08B8D70A-50FE-438F-87F1-51036E1AFBBA}">
      <text>
        <r>
          <rPr>
            <b/>
            <sz val="9"/>
            <color indexed="81"/>
            <rFont val="Tahoma"/>
            <family val="2"/>
          </rPr>
          <t>Rob Squire:</t>
        </r>
        <r>
          <rPr>
            <sz val="9"/>
            <color indexed="81"/>
            <rFont val="Tahoma"/>
            <family val="2"/>
          </rPr>
          <t xml:space="preserve">
Purchase of TSM
Date of Purchase 12/4/24
Prior to the sale  
# of shares in account 40.0000
Cost basis per share 162.3498
This action  
Shares purchased 30.0000
Price per share 201.17
Principal amount $6,035.10
Fees $0.00
Total paid $6,035.10
After the purchase  
New total # of shares in account 70
Cost basis per share  178.99
</t>
        </r>
      </text>
    </comment>
    <comment ref="S109" authorId="0" shapeId="0" xr:uid="{2310D87B-2AA3-4AA1-8F3C-13B7F8D9C308}">
      <text>
        <r>
          <rPr>
            <b/>
            <sz val="9"/>
            <color indexed="81"/>
            <rFont val="Tahoma"/>
            <family val="2"/>
          </rPr>
          <t>Rob Squire:</t>
        </r>
        <r>
          <rPr>
            <sz val="9"/>
            <color indexed="81"/>
            <rFont val="Tahoma"/>
            <family val="2"/>
          </rPr>
          <t xml:space="preserve">
Sale of VEA
Date of Sale 1/2/25
Prior to the sale  
# of shares in account 475
Cost basis per share 45.07
This action  
Shares sold 25
Price per share 47.7325
Principal amount $1,193.31
Fees $0.07
Total received $1,193.24
Cost basis of shares sold $1,126.75
Profit (loss) $66.49 
After the sale  
Total # of shares remaining 450
Cost basis per share remains at 44.77
</t>
        </r>
      </text>
    </comment>
    <comment ref="AH109" authorId="0" shapeId="0" xr:uid="{1327954D-5260-45E1-AE41-B1DB08BCACFC}">
      <text>
        <r>
          <rPr>
            <b/>
            <sz val="9"/>
            <color indexed="81"/>
            <rFont val="Tahoma"/>
            <family val="2"/>
          </rPr>
          <t>Rob Squire:</t>
        </r>
        <r>
          <rPr>
            <sz val="9"/>
            <color indexed="81"/>
            <rFont val="Tahoma"/>
            <family val="2"/>
          </rPr>
          <t xml:space="preserve">
Sale of AAPL
Date of Sale 12/16/24
Prior to the sale  
# of shares in account 90.0000
Cost basis per share 175.0567
This action  
Shares sold 15.0000
Price per share 250.68
Principal amount $3,760.20
Fees $0.11
Total received $3,760.09
Cost basis of shares sold $2,625.85
Profit (loss) $1,134.24 
After the sale  
Total # of shares remaining 75.0000
Cost basis per share remains at 175.0567
</t>
        </r>
      </text>
    </comment>
    <comment ref="AJ109" authorId="0" shapeId="0" xr:uid="{70013391-F7F9-4E35-BCBF-08DB4365C4D1}">
      <text>
        <r>
          <rPr>
            <b/>
            <sz val="9"/>
            <color indexed="81"/>
            <rFont val="Tahoma"/>
            <family val="2"/>
          </rPr>
          <t>Rob Squire:</t>
        </r>
        <r>
          <rPr>
            <sz val="9"/>
            <color indexed="81"/>
            <rFont val="Tahoma"/>
            <family val="2"/>
          </rPr>
          <t xml:space="preserve">
Sale of AMZN
Date of Sale 12/27/24
Prior to the sale  
# of shares in account 125
Cost basis per share 155.01
This action  
Shares sold 20
Price per share 223.28
Principal amount $4,465.60
Fees $0.13
Total received $4,465.47
Cost basis of shares sold $3,100.20
Profit (loss) $1,365.27 
After the sale  
Total # of shares remaining 105
Cost basis per share remains at 159.24
</t>
        </r>
      </text>
    </comment>
    <comment ref="AL109" authorId="0" shapeId="0" xr:uid="{7112945F-4BC4-41F7-95DD-524E903ED925}">
      <text>
        <r>
          <rPr>
            <b/>
            <sz val="9"/>
            <color indexed="81"/>
            <rFont val="Tahoma"/>
            <family val="2"/>
          </rPr>
          <t>Rob Squire:</t>
        </r>
        <r>
          <rPr>
            <sz val="9"/>
            <color indexed="81"/>
            <rFont val="Tahoma"/>
            <family val="2"/>
          </rPr>
          <t xml:space="preserve">
Sale of AZO
Date of Sale 12/27/24
Prior to the sale  
# of shares in account 7
Cost basis per share 1164.1974
This action  
Shares sold 1
Price per share 3231.6401
Principal amount $3,231.64
Fees $0.09
Total received $3,231.55
Cost basis of shares sold $1,164.20
Profit (loss) $2,067.35 
After the sale  
Total # of shares remaining 6
Cost basis per share remains at 1164.1974
</t>
        </r>
      </text>
    </comment>
    <comment ref="AT109" authorId="0" shapeId="0" xr:uid="{2956F994-426D-44DD-B135-B8850A42FCA4}">
      <text>
        <r>
          <rPr>
            <b/>
            <sz val="9"/>
            <color indexed="81"/>
            <rFont val="Tahoma"/>
            <family val="2"/>
          </rPr>
          <t>Rob Squire:</t>
        </r>
        <r>
          <rPr>
            <sz val="9"/>
            <color indexed="81"/>
            <rFont val="Tahoma"/>
            <family val="2"/>
          </rPr>
          <t xml:space="preserve">
Sale of DAL
Date of Sale 12/4/24
Prior to the sale  
# of shares in account 2,794.4310
Cost basis per share 32.25
This action  
Shares sold 2,794.4310
Price per share 63.14
Principal amount $176,440.37
Fees $4.91
Total received $176,435.46
Cost basis of shares sold $90,120.40
Profit (loss) $86,315.06 
After the sale  
Total # of shares remaining 0.0000
Cost basis per share remains at 0
</t>
        </r>
      </text>
    </comment>
    <comment ref="BE109" authorId="0" shapeId="0" xr:uid="{A9DC211A-6D24-42A3-9B66-99162674D938}">
      <text>
        <r>
          <rPr>
            <b/>
            <sz val="9"/>
            <color indexed="81"/>
            <rFont val="Tahoma"/>
            <family val="2"/>
          </rPr>
          <t>Rob Squire:</t>
        </r>
        <r>
          <rPr>
            <sz val="9"/>
            <color indexed="81"/>
            <rFont val="Tahoma"/>
            <family val="2"/>
          </rPr>
          <t xml:space="preserve">
Sale of GOOGL
Date of Sale 12/23/24
Prior to the sale  
# of shares in account 120
Cost basis per share 89.01
This action  
Shares sold 40.0000
Price per share 192.986
Principal amount $7,719.44
Fees $0.22
Total received $7,719.22
Cost basis of shares sold $3,560.40
Profit (loss) $4,158.82 
After the sale  
Total # of shares remaining 80
Cost basis per share remains at 89.01
</t>
        </r>
      </text>
    </comment>
    <comment ref="BI109" authorId="0" shapeId="0" xr:uid="{CCD103B5-FF80-41A3-996D-45D187F0ACF1}">
      <text>
        <r>
          <rPr>
            <b/>
            <sz val="9"/>
            <color indexed="81"/>
            <rFont val="Tahoma"/>
            <family val="2"/>
          </rPr>
          <t>Rob Squire:</t>
        </r>
        <r>
          <rPr>
            <sz val="9"/>
            <color indexed="81"/>
            <rFont val="Tahoma"/>
            <family val="2"/>
          </rPr>
          <t xml:space="preserve">
Purchase of HCA
Date of Purchase 12/16/25
Prior to the sale  
# of shares in account 0
Cost basis per share N/A
This action  
Shares purchased 60
Price per share 313.9268
Principal amount $18,835.61
Fees $0.00
Total paid $18,835.61
After the purchase  
New total # of shares in account 60
Cost basis per share  313.9268
</t>
        </r>
      </text>
    </comment>
    <comment ref="BO109" authorId="0" shapeId="0" xr:uid="{2C1D9387-A1B5-4BEE-B52D-C2BB128592D9}">
      <text>
        <r>
          <rPr>
            <b/>
            <sz val="9"/>
            <color indexed="81"/>
            <rFont val="Tahoma"/>
            <family val="2"/>
          </rPr>
          <t>Rob Squire:</t>
        </r>
        <r>
          <rPr>
            <sz val="9"/>
            <color indexed="81"/>
            <rFont val="Tahoma"/>
            <family val="2"/>
          </rPr>
          <t xml:space="preserve">
Purchase of JIRE
Date of Purchase 12/27/24
Prior to the sale  
# of shares in account 0
Cost basis per share N/A
This action  
Shares purchased 200.0000
Price per share 58.8016
Principal amount $11,760.32
Fees $0.00
Total paid $11,760.32
After the purchase  
New total # of shares in account 200
Cost basis per share  58.8016
</t>
        </r>
      </text>
    </comment>
    <comment ref="BS109" authorId="0" shapeId="0" xr:uid="{475F5516-0A8F-4632-87CC-7B9D31186C9F}">
      <text>
        <r>
          <rPr>
            <b/>
            <sz val="9"/>
            <color indexed="81"/>
            <rFont val="Tahoma"/>
            <family val="2"/>
          </rPr>
          <t>Rob Squire:</t>
        </r>
        <r>
          <rPr>
            <sz val="9"/>
            <color indexed="81"/>
            <rFont val="Tahoma"/>
            <family val="2"/>
          </rPr>
          <t xml:space="preserve">
Purchase of MCHI
Date of Purchase 12/23/24
Prior to the sale  
# of shares in account 200.0000
Cost basis per share 49.5156
This action  
Shares purchased 50.0000
Price per share 47.1683
Principal amount $2,358.42
Fees $0.00
Total paid $2,358.42
After the purchase  
New total # of shares in account 250
Cost basis per share  49.05
</t>
        </r>
      </text>
    </comment>
    <comment ref="CV109" authorId="0" shapeId="0" xr:uid="{261D4B06-DF66-4B77-BDBC-CFFFDF5DC317}">
      <text>
        <r>
          <rPr>
            <b/>
            <sz val="9"/>
            <color indexed="81"/>
            <rFont val="Tahoma"/>
            <family val="2"/>
          </rPr>
          <t>Rob Squire:</t>
        </r>
        <r>
          <rPr>
            <sz val="9"/>
            <color indexed="81"/>
            <rFont val="Tahoma"/>
            <family val="2"/>
          </rPr>
          <t xml:space="preserve">
Sale of ZM
Date of Sale 12/4/24
Prior to the sale  
# of shares in account 150.0000
Cost basis per share 74.63
This action  
Shares sold 50.0000
Price per share 83.371
Principal amount $4,168.55
Fees $0.12
Total received $4,168.43
Cost basis of shares sold $3,731.50
Profit (loss) $436.93 
After the sale  
Total # of shares remaining 100.0000
Cost basis per share remains at 74.63
-----------------------------------------------
Sale of WM
Date of Sale 12/16/25
Prior to the sale  
# of shares in account 80
Cost basis per share 127.06
This action  
Shares sold 15
Price per share 212.8576
Principal amount $3,192.86
Fees $0.09
Total received $3,192.77
Cost basis of shares sold $1,905.90
Profit (loss) $1,286.87 
After the sale  
Total # of shares remaining 65
Cost basis per share remains at 127.06
</t>
        </r>
      </text>
    </comment>
    <comment ref="DK109" authorId="0" shapeId="0" xr:uid="{F780D99A-7D67-45B3-BDDB-1355A5FE57C0}">
      <text>
        <r>
          <rPr>
            <b/>
            <sz val="9"/>
            <color indexed="81"/>
            <rFont val="Tahoma"/>
            <family val="2"/>
          </rPr>
          <t>Rob Squire:</t>
        </r>
        <r>
          <rPr>
            <sz val="9"/>
            <color indexed="81"/>
            <rFont val="Tahoma"/>
            <family val="2"/>
          </rPr>
          <t xml:space="preserve">
Purchase of ICSH
Date of Purchase 12/10/24
Prior to the sale  
# of shares in account 120.0000
Cost basis per share 50.52
This action  
Shares purchased 30.0000
Price per share 50.52
Principal amount $1,515.60
Fees $0.00
Total paid $1,515.60
After the purchase  
New total # of shares in account 150
Cost basis per share  50.52
------------------------------------------------
Purchase of ICSH
Date of Purchase 12/27/24
Prior to the sale  
# of shares in account 150
Cost basis per share 50.52
This action  
Shares purchased 25.0000
Price per share 50.4
Principal amount $1,260.00
Fees $0.00
Total paid $1,260.00
After the purchase  
New total # of shares in account 175
Cost basis per share  50.5
</t>
        </r>
      </text>
    </comment>
    <comment ref="EX109" authorId="0" shapeId="0" xr:uid="{105E2818-8968-45D0-8FAD-B4C27D173867}">
      <text>
        <r>
          <rPr>
            <b/>
            <sz val="9"/>
            <color indexed="81"/>
            <rFont val="Tahoma"/>
            <family val="2"/>
          </rPr>
          <t>Rob Squire:</t>
        </r>
        <r>
          <rPr>
            <sz val="9"/>
            <color indexed="81"/>
            <rFont val="Tahoma"/>
            <family val="2"/>
          </rPr>
          <t xml:space="preserve">
On 12/5/2024, $11,819.18 was transferred into this account from Joyce's Inherited IRA for purposes of the 2023 RMD</t>
        </r>
      </text>
    </comment>
    <comment ref="FR109" authorId="0" shapeId="0" xr:uid="{81EF80CB-A261-4285-B11D-4AA28FA3F746}">
      <text>
        <r>
          <rPr>
            <b/>
            <sz val="9"/>
            <color indexed="81"/>
            <rFont val="Tahoma"/>
            <family val="2"/>
          </rPr>
          <t>Rob Squire:</t>
        </r>
        <r>
          <rPr>
            <sz val="9"/>
            <color indexed="81"/>
            <rFont val="Tahoma"/>
            <family val="2"/>
          </rPr>
          <t xml:space="preserve">
Purchase of GE
Date of Purchase 12/16/24
Prior to the sale  
# of shares in account 0.0000
Cost basis per share N/A
This action  
Shares purchased 50.0000
Price per share 167.6384
Principal amount $8,381.92
Fees $0.00
Total paid $8,381.92
After the purchase  
New total # of shares in account 50
Cost basis per share  167.6384
</t>
        </r>
      </text>
    </comment>
    <comment ref="FW109" authorId="0" shapeId="0" xr:uid="{795B6341-8537-4F74-B0CE-F07E0D7E34C7}">
      <text>
        <r>
          <rPr>
            <b/>
            <sz val="9"/>
            <color indexed="81"/>
            <rFont val="Tahoma"/>
            <family val="2"/>
          </rPr>
          <t>Rob Squire:</t>
        </r>
        <r>
          <rPr>
            <sz val="9"/>
            <color indexed="81"/>
            <rFont val="Tahoma"/>
            <family val="2"/>
          </rPr>
          <t xml:space="preserve">
Sale of IJR
Date of Sale 1/2/25
Prior to the sale  
# of shares in account 150
Cost basis per share 80.68
This action  
Shares sold 10
Price per share 114.965
Principal amount $1,149.65
Fees $0.07
Total received $1,149.58
Cost basis of shares sold $806.80
Profit (loss) $342.78 
After the sale  
Total # of shares remaining 140
Cost basis per share remains at 80.68
</t>
        </r>
      </text>
    </comment>
    <comment ref="FY109" authorId="0" shapeId="0" xr:uid="{F9FAE467-7D00-427A-B7AA-07A532B337AC}">
      <text>
        <r>
          <rPr>
            <b/>
            <sz val="9"/>
            <color indexed="81"/>
            <rFont val="Tahoma"/>
            <family val="2"/>
          </rPr>
          <t>Rob Squire:</t>
        </r>
        <r>
          <rPr>
            <sz val="9"/>
            <color indexed="81"/>
            <rFont val="Tahoma"/>
            <family val="2"/>
          </rPr>
          <t xml:space="preserve">
Sale of JPM
Date of Sale 1/2/25
Prior to the sale  
# of shares in account 70
Cost basis per share 116.46
This action  
Shares sold 10
Price per share 241.0774
Principal amount $2,410.77
Fees $0.07
Total received $2,410.70
Cost basis of shares sold $1,164.60
Profit (loss) $1,246.10 
After the sale  
Total # of shares remaining 60
Cost basis per share remains at 116.21
</t>
        </r>
      </text>
    </comment>
    <comment ref="GI109" authorId="0" shapeId="0" xr:uid="{2ECA1B4D-072C-493F-AC6A-23298AEBD2DE}">
      <text>
        <r>
          <rPr>
            <b/>
            <sz val="9"/>
            <color indexed="81"/>
            <rFont val="Tahoma"/>
            <family val="2"/>
          </rPr>
          <t>Rob Squire:</t>
        </r>
        <r>
          <rPr>
            <sz val="9"/>
            <color indexed="81"/>
            <rFont val="Tahoma"/>
            <family val="2"/>
          </rPr>
          <t xml:space="preserve">
Sale of PG
Date of Sale 1/2/25
Prior to the sale  
# of shares in account 35
Cost basis per share 155.66
This action  
Shares sold 10
Price per share 166.18
Principal amount $1,661.80
Fees $0.07
Total received $1,661.73
Cost basis of shares sold $1,556.60
Profit (loss) $105.13 
After the sale  
Total # of shares remaining 25
Cost basis per share remains at 158.11
------------------------------------------------------
Sale of PG
Date of Sale 1/29/25
Prior to the sale  
# of shares in account 25
Cost basis per share 158.11
This action  
Shares sold 25
Price per share 166.77
Principal amount $4,169.25
Fees $0.12
Total received $4,169.13
Cost basis of shares sold $3,952.75
Profit (loss) $216.38 
After the sale  
Total # of shares remaining 0
Cost basis per share remains at 0
</t>
        </r>
      </text>
    </comment>
    <comment ref="GP109" authorId="0" shapeId="0" xr:uid="{9489283E-496A-4D4F-B9DD-DEEEA1E932B7}">
      <text>
        <r>
          <rPr>
            <b/>
            <sz val="9"/>
            <color indexed="81"/>
            <rFont val="Tahoma"/>
            <family val="2"/>
          </rPr>
          <t>Rob Squire:</t>
        </r>
        <r>
          <rPr>
            <sz val="9"/>
            <color indexed="81"/>
            <rFont val="Tahoma"/>
            <family val="2"/>
          </rPr>
          <t xml:space="preserve">
Purchase of TSM
Date of Purchase 12/4/24
Prior to the sale  
# of shares in account 40.0000
Cost basis per share 162.3498
This action  
Shares purchased 30.0000
Price per share 201.17
Principal amount $6,035.10
Fees $0.00
Total paid $6,035.10
After the purchase  
New total # of shares in account 70
Cost basis per share  178.99
</t>
        </r>
      </text>
    </comment>
    <comment ref="GR109" authorId="0" shapeId="0" xr:uid="{163F1D97-B454-42C0-9996-2BB9C1BAC3BB}">
      <text>
        <r>
          <rPr>
            <b/>
            <sz val="9"/>
            <color indexed="81"/>
            <rFont val="Tahoma"/>
            <family val="2"/>
          </rPr>
          <t>Rob Squire:</t>
        </r>
        <r>
          <rPr>
            <sz val="9"/>
            <color indexed="81"/>
            <rFont val="Tahoma"/>
            <family val="2"/>
          </rPr>
          <t xml:space="preserve">
Purchase of UNP
Date of Purchase 12/4/24
Prior to the sale  
# of shares in account 45.0000
Cost basis per share 226.07
This action  
Shares purchased 10.0000
Price per share 235.045
Principal amount $2,350.45
Fees $0.00
Total paid $2,350.45
After the purchase  
New total # of shares in account 55
Cost basis per share  227.7
</t>
        </r>
      </text>
    </comment>
    <comment ref="GT109" authorId="0" shapeId="0" xr:uid="{3C3521DA-0C38-41D4-BBB4-9EC3071FD266}">
      <text>
        <r>
          <rPr>
            <b/>
            <sz val="9"/>
            <color indexed="81"/>
            <rFont val="Tahoma"/>
            <family val="2"/>
          </rPr>
          <t>Rob Squire:</t>
        </r>
        <r>
          <rPr>
            <sz val="9"/>
            <color indexed="81"/>
            <rFont val="Tahoma"/>
            <family val="2"/>
          </rPr>
          <t xml:space="preserve">
Sale of VEA
Date of Sale 1/2/25
Prior to the sale  
# of shares in account 475
Cost basis per share 45.07
This action  
Shares sold 25
Price per share 47.7325
Principal amount $1,193.31
Fees $0.07
Total received $1,193.24
Cost basis of shares sold $1,126.75
Profit (loss) $66.49 
After the sale  
Total # of shares remaining 450
Cost basis per share remains at 44.77
</t>
        </r>
      </text>
    </comment>
    <comment ref="HH109" authorId="0" shapeId="0" xr:uid="{40AC771A-DCD3-45BF-9D8A-951AE9F2407D}">
      <text>
        <r>
          <rPr>
            <b/>
            <sz val="9"/>
            <color indexed="81"/>
            <rFont val="Tahoma"/>
            <family val="2"/>
          </rPr>
          <t>Rob Squire:</t>
        </r>
        <r>
          <rPr>
            <sz val="9"/>
            <color indexed="81"/>
            <rFont val="Tahoma"/>
            <family val="2"/>
          </rPr>
          <t xml:space="preserve">
Sale of AAPL
Date of Sale 12/16/24
Prior to the sale  
# of shares in account 90.0000
Cost basis per share 175.0567
This action  
Shares sold 15.0000
Price per share 250.68
Principal amount $3,760.20
Fees $0.11
Total received $3,760.09
Cost basis of shares sold $2,625.85
Profit (loss) $1,134.24 
After the sale  
Total # of shares remaining 75.0000
Cost basis per share remains at 175.0567
</t>
        </r>
      </text>
    </comment>
    <comment ref="HJ109" authorId="0" shapeId="0" xr:uid="{3A5CA790-CAC8-4F8C-A06C-063182E5EE40}">
      <text>
        <r>
          <rPr>
            <b/>
            <sz val="9"/>
            <color indexed="81"/>
            <rFont val="Tahoma"/>
            <family val="2"/>
          </rPr>
          <t>Rob Squire:</t>
        </r>
        <r>
          <rPr>
            <sz val="9"/>
            <color indexed="81"/>
            <rFont val="Tahoma"/>
            <family val="2"/>
          </rPr>
          <t xml:space="preserve">
Sale of AMZN
Date of Sale 12/27/24
Prior to the sale  
# of shares in account 125
Cost basis per share 155.01
This action  
Shares sold 20
Price per share 223.28
Principal amount $4,465.60
Fees $0.13
Total received $4,465.47
Cost basis of shares sold $3,100.20
Profit (loss) $1,365.27 
After the sale  
Total # of shares remaining 105
Cost basis per share remains at 159.24
</t>
        </r>
      </text>
    </comment>
    <comment ref="HL109" authorId="0" shapeId="0" xr:uid="{15A7A718-DDCD-486C-8060-65331B45BCEC}">
      <text>
        <r>
          <rPr>
            <b/>
            <sz val="9"/>
            <color indexed="81"/>
            <rFont val="Tahoma"/>
            <family val="2"/>
          </rPr>
          <t>Rob Squire:</t>
        </r>
        <r>
          <rPr>
            <sz val="9"/>
            <color indexed="81"/>
            <rFont val="Tahoma"/>
            <family val="2"/>
          </rPr>
          <t xml:space="preserve">
Sale of ASML
Date of Sale 1/29/25
Prior to the sale  
# of shares in account 20
Cost basis per share 779.19
This action  
Shares sold 5
Price per share 711.6535
Principal amount $3,558.27
Fees $0.10
Total received $3,558.17
Cost basis of shares sold $3,895.95
Profit (loss) $ ($337.78)
Profit (loss) % -8.7%
After the sale  
Total # of shares remaining 15
Cost basis per share remains at 759.36
</t>
        </r>
      </text>
    </comment>
    <comment ref="HN109" authorId="0" shapeId="0" xr:uid="{449E0528-2B14-476E-ABA4-98779EA99F9B}">
      <text>
        <r>
          <rPr>
            <b/>
            <sz val="9"/>
            <color indexed="81"/>
            <rFont val="Tahoma"/>
            <family val="2"/>
          </rPr>
          <t>Rob Squire:</t>
        </r>
        <r>
          <rPr>
            <sz val="9"/>
            <color indexed="81"/>
            <rFont val="Tahoma"/>
            <family val="2"/>
          </rPr>
          <t xml:space="preserve">
Sale of AZO
Date of Sale 12/27/24
Prior to the sale  
# of shares in account 7
Cost basis per share 1164.1974
This action  
Shares sold 1
Price per share 3231.6401
Principal amount $3,231.64
Fees $0.09
Total received $3,231.55
Cost basis of shares sold $1,164.20
Profit (loss) $2,067.35 
After the sale  
Total # of shares remaining 6
Cost basis per share remains at 1164.1974
</t>
        </r>
      </text>
    </comment>
    <comment ref="HR109" authorId="0" shapeId="0" xr:uid="{8FC8879B-0E35-49E1-9B8B-80D8D6329A91}">
      <text>
        <r>
          <rPr>
            <b/>
            <sz val="9"/>
            <color indexed="81"/>
            <rFont val="Tahoma"/>
            <family val="2"/>
          </rPr>
          <t>Rob Squire:</t>
        </r>
        <r>
          <rPr>
            <sz val="9"/>
            <color indexed="81"/>
            <rFont val="Tahoma"/>
            <family val="2"/>
          </rPr>
          <t xml:space="preserve">
Sale of BK
Date of Sale 12/4/24
Prior to the sale  
# of shares in account 200.0000
Cost basis per share 43.3
This action  
Shares sold 50.0000
Price per share 80.2439
Principal amount $4,012.20
Fees $0.12
Total received $4,012.08
Cost basis of shares sold $2,165.00
Profit (loss) $1,847.08 
After the sale  
Total # of shares remaining 150.0000
Cost basis per share remains at 43.3
</t>
        </r>
      </text>
    </comment>
    <comment ref="HV109" authorId="0" shapeId="0" xr:uid="{C9B39697-D13A-4E09-ACE9-4F40ACD0E697}">
      <text>
        <r>
          <rPr>
            <b/>
            <sz val="9"/>
            <color indexed="81"/>
            <rFont val="Tahoma"/>
            <family val="2"/>
          </rPr>
          <t>Rob Squire:</t>
        </r>
        <r>
          <rPr>
            <sz val="9"/>
            <color indexed="81"/>
            <rFont val="Tahoma"/>
            <family val="2"/>
          </rPr>
          <t xml:space="preserve">
Sale of COST
Date of Sale 12/16/24
Prior to the sale  
# of shares in account 15.0000
Cost basis per share 482.8386
This action  
Shares sold 15.0000
Price per share 998.5861
Principal amount $14,978.79
Fees $0.42
Total received $14,978.37
Cost basis of shares sold $7,242.58
Profit (loss) $7,736.14 
After the sale  
Total # of shares remaining 0.0000
Cost basis per share remains at 0
</t>
        </r>
      </text>
    </comment>
    <comment ref="HW109" authorId="0" shapeId="0" xr:uid="{EE86855C-08D3-476C-82AA-D067E895EBB7}">
      <text>
        <r>
          <rPr>
            <b/>
            <sz val="9"/>
            <color indexed="81"/>
            <rFont val="Tahoma"/>
            <family val="2"/>
          </rPr>
          <t>Rob Squire:</t>
        </r>
        <r>
          <rPr>
            <sz val="9"/>
            <color indexed="81"/>
            <rFont val="Tahoma"/>
            <family val="2"/>
          </rPr>
          <t xml:space="preserve">
Purchase of CPB
Date of Purchase 12/23/24
Prior to the sale  
# of shares in account 175.0000
Cost basis per share 44.0867
This action  
Shares purchased 250.0000
Price per share 41.3284
Principal amount $10,332.10
Fees $0.00
Total paid $10,332.10
After the purchase  
New total # of shares in account 425
Cost basis per share  42.46
---------------------------------------------------------
Purchase of CPB
Date of Purchase 1/29/25
Prior to the sale  
# of shares in account 425
Cost basis per share 42.46
This action  
Shares purchased 75
Price per share 38.7627
Principal amount $2,907.20
Fees $0.00
Total paid $2,907.20
After the purchase  
New total # of shares in account 500
Cost basis per share  41.91
</t>
        </r>
      </text>
    </comment>
    <comment ref="IL109" authorId="0" shapeId="0" xr:uid="{A296B981-5C10-4B08-9D23-277070D7C34C}">
      <text>
        <r>
          <rPr>
            <b/>
            <sz val="9"/>
            <color indexed="81"/>
            <rFont val="Tahoma"/>
            <family val="2"/>
          </rPr>
          <t>Rob Squire:</t>
        </r>
        <r>
          <rPr>
            <sz val="9"/>
            <color indexed="81"/>
            <rFont val="Tahoma"/>
            <family val="2"/>
          </rPr>
          <t xml:space="preserve">
Purchase of GEHC
Date of Purchase 1/2/25
Prior to the sale  
# of shares in account 100
Cost basis per share 71.69
This action  
Shares purchased 100.0000
Price per share 78.24
Principal amount $7,824.00
Fees $0.00
Total paid $7,824.00
After the purchase  
New total # of shares in account 200
Cost basis per share  74.97
</t>
        </r>
      </text>
    </comment>
    <comment ref="IM109" authorId="0" shapeId="0" xr:uid="{7F7722F6-5DC4-4D9E-A9A9-C6E92E812EDC}">
      <text>
        <r>
          <rPr>
            <b/>
            <sz val="9"/>
            <color indexed="81"/>
            <rFont val="Tahoma"/>
            <family val="2"/>
          </rPr>
          <t>Rob Squire:</t>
        </r>
        <r>
          <rPr>
            <sz val="9"/>
            <color indexed="81"/>
            <rFont val="Tahoma"/>
            <family val="2"/>
          </rPr>
          <t xml:space="preserve">
Sale of GOOGL
Date of Sale 12/23/24
Prior to the sale  
# of shares in account 120
Cost basis per share 89.01
This action  
Shares sold 40.0000
Price per share 192.986
Principal amount $7,719.44
Fees $0.22
Total received $7,719.22
Cost basis of shares sold $3,560.40
Profit (loss) $4,158.82 
After the sale  
Total # of shares remaining 80
Cost basis per share remains at 89.01
</t>
        </r>
      </text>
    </comment>
    <comment ref="IO109" authorId="0" shapeId="0" xr:uid="{83F893EC-2354-4250-BFE9-506E8D49E6F2}">
      <text>
        <r>
          <rPr>
            <b/>
            <sz val="9"/>
            <color indexed="81"/>
            <rFont val="Tahoma"/>
            <family val="2"/>
          </rPr>
          <t>Rob Squire:</t>
        </r>
        <r>
          <rPr>
            <sz val="9"/>
            <color indexed="81"/>
            <rFont val="Tahoma"/>
            <family val="2"/>
          </rPr>
          <t xml:space="preserve">
Purchase of HCA
Date of Purchase 12/16/25
Prior to the sale  
# of shares in account 0
Cost basis per share N/A
This action  
Shares purchased 60
Price per share 313.9268
Principal amount $18,835.61
Fees $0.00
Total paid $18,835.61
After the purchase  
New total # of shares in account 60
Cost basis per share  313.9268
</t>
        </r>
      </text>
    </comment>
    <comment ref="IV109" authorId="0" shapeId="0" xr:uid="{542EC3A1-3DC7-4D29-BB28-89E70713583D}">
      <text>
        <r>
          <rPr>
            <b/>
            <sz val="9"/>
            <color indexed="81"/>
            <rFont val="Tahoma"/>
            <family val="2"/>
          </rPr>
          <t>Rob Squire:</t>
        </r>
        <r>
          <rPr>
            <sz val="9"/>
            <color indexed="81"/>
            <rFont val="Tahoma"/>
            <family val="2"/>
          </rPr>
          <t xml:space="preserve">
Purchase of JIRE
Date of Purchase 12/27/24
Prior to the sale  
# of shares in account 0
Cost basis per share N/A
This action  
Shares purchased 200.0000
Price per share 58.8016
Principal amount $11,760.32
Fees $0.00
Total paid $11,760.32
After the purchase  
New total # of shares in account 200
Cost basis per share  58.8016
</t>
        </r>
      </text>
    </comment>
    <comment ref="JA109" authorId="0" shapeId="0" xr:uid="{F2EC99CC-6901-4916-968E-D3302FE13839}">
      <text>
        <r>
          <rPr>
            <b/>
            <sz val="9"/>
            <color indexed="81"/>
            <rFont val="Tahoma"/>
            <family val="2"/>
          </rPr>
          <t>Rob Squire:</t>
        </r>
        <r>
          <rPr>
            <sz val="9"/>
            <color indexed="81"/>
            <rFont val="Tahoma"/>
            <family val="2"/>
          </rPr>
          <t xml:space="preserve">
Sale of LH
Date of Sale 1/2/25
Prior to the sale  
# of shares in account 90
Cost basis per share 212.8566
This action  
Shares sold 20
Price per share 249.0014
Principal amount $4,980.03
Fees $0.14
Total received $4,979.89
Cost basis of shares sold $4,257.13
Profit (loss) $722.76 
After the sale  
Total # of shares remaining 70
Cost basis per share remains at 212.8566
</t>
        </r>
      </text>
    </comment>
    <comment ref="JH109" authorId="0" shapeId="0" xr:uid="{BFA46D46-5BC6-42E3-ADC9-91F2F748DC94}">
      <text>
        <r>
          <rPr>
            <b/>
            <sz val="9"/>
            <color indexed="81"/>
            <rFont val="Tahoma"/>
            <family val="2"/>
          </rPr>
          <t>Rob Squire:</t>
        </r>
        <r>
          <rPr>
            <sz val="9"/>
            <color indexed="81"/>
            <rFont val="Tahoma"/>
            <family val="2"/>
          </rPr>
          <t xml:space="preserve">
Purchase of MCHI
Date of Purchase 12/23/24
Prior to the sale  
# of shares in account 200.0000
Cost basis per share 49.5156
This action  
Shares purchased 50.0000
Price per share 47.1683
Principal amount $2,358.42
Fees $0.00
Total paid $2,358.42
After the purchase  
New total # of shares in account 250
Cost basis per share  49.05
</t>
        </r>
      </text>
    </comment>
    <comment ref="JR109" authorId="0" shapeId="0" xr:uid="{12D9FE19-4D24-4C23-B8CC-6259F0A76DBB}">
      <text>
        <r>
          <rPr>
            <b/>
            <sz val="9"/>
            <color indexed="81"/>
            <rFont val="Tahoma"/>
            <family val="2"/>
          </rPr>
          <t>Rob Squire:</t>
        </r>
        <r>
          <rPr>
            <sz val="9"/>
            <color indexed="81"/>
            <rFont val="Tahoma"/>
            <family val="2"/>
          </rPr>
          <t xml:space="preserve">
Purchase of PG
Date of Purchase 1/29/25
Prior to the sale  
# of shares in account 35
Cost basis per share 165.78
This action  
Shares purchased 25
Price per share 166.7335
Principal amount $4,168.34
Fees $0.00
Total paid $4,168.34
After the purchase  
New total # of shares in account 60
Cost basis per share  166.18
</t>
        </r>
      </text>
    </comment>
    <comment ref="KC109" authorId="0" shapeId="0" xr:uid="{4F1A8E94-5220-41E5-BB7E-6883B644AFF5}">
      <text>
        <r>
          <rPr>
            <b/>
            <sz val="9"/>
            <color indexed="81"/>
            <rFont val="Tahoma"/>
            <family val="2"/>
          </rPr>
          <t>Rob Squire:</t>
        </r>
        <r>
          <rPr>
            <sz val="9"/>
            <color indexed="81"/>
            <rFont val="Tahoma"/>
            <family val="2"/>
          </rPr>
          <t xml:space="preserve">
Sale of V
Date of Sale 1/2/25
Prior to the sale  
# of shares in account 85
Cost basis per share 216.29
This action  
Shares sold 10
Price per share 335.206
Principal amount $3,352.06
Fees $0.10
Total received $3,351.96
Cost basis of shares sold $2,162.90
Profit (loss) $1,189.06 
After the sale  
Total # of shares remaining 75
Cost basis per share remains at 215.29
</t>
        </r>
      </text>
    </comment>
    <comment ref="KQ109" authorId="0" shapeId="0" xr:uid="{D56B0ADD-9A8E-4B4B-AE1E-4645FDE50A1F}">
      <text>
        <r>
          <rPr>
            <b/>
            <sz val="9"/>
            <color indexed="81"/>
            <rFont val="Tahoma"/>
            <family val="2"/>
          </rPr>
          <t>Rob Squire:</t>
        </r>
        <r>
          <rPr>
            <sz val="9"/>
            <color indexed="81"/>
            <rFont val="Tahoma"/>
            <family val="2"/>
          </rPr>
          <t xml:space="preserve">
Sale of ZM
Date of Sale 12/4/24
Prior to the sale  
# of shares in account 150.0000
Cost basis per share 74.63
This action  
Shares sold 50.0000
Price per share 83.371
Principal amount $4,168.55
Fees $0.12
Total received $4,168.43
Cost basis of shares sold $3,731.50
Profit (loss) $436.93 
After the sale  
Total # of shares remaining 100.0000
Cost basis per share remains at 74.63
-----------------------------------------------
Sale of WM
Date of Sale 12/16/25
Prior to the sale  
# of shares in account 80
Cost basis per share 127.06
This action  
Shares sold 15
Price per share 212.8576
Principal amount $3,192.86
Fees $0.09
Total received $3,192.77
Cost basis of shares sold $1,905.90
Profit (loss) $1,286.87 
After the sale  
Total # of shares remaining 65
Cost basis per share remains at 127.06
</t>
        </r>
      </text>
    </comment>
    <comment ref="KV109" authorId="0" shapeId="0" xr:uid="{61DB9F4D-F32E-40EF-96C0-95C9277AE992}">
      <text>
        <r>
          <rPr>
            <b/>
            <sz val="9"/>
            <color indexed="81"/>
            <rFont val="Tahoma"/>
            <family val="2"/>
          </rPr>
          <t>Rob Squire:</t>
        </r>
        <r>
          <rPr>
            <sz val="9"/>
            <color indexed="81"/>
            <rFont val="Tahoma"/>
            <family val="2"/>
          </rPr>
          <t xml:space="preserve">
This transaction was not recorded, and not discovered until 2/2/25
Sale of ZM
Date of sale 12/4
Prior to sale
#shares in acct  150
Shares sold  50
Shares in acct after sale 100
---------------------------------------------------
Sale of ZM
Date of Sale 12/16/25
Prior to the sale  
# of shares in account 100
Cost basis per share 74.63
This action  
Shares sold 100
Price per share 83.8573
Principal amount $8,385.73
Fees $0.24
Total received $8,385.49
Cost basis of shares sold $7,463.00
Profit (loss) $922.49 
After the sale  
Total # of shares remaining 0
Cost basis per share remains at 0
</t>
        </r>
      </text>
    </comment>
    <comment ref="LZ109" authorId="0" shapeId="0" xr:uid="{BCBFE698-1D60-4733-80D6-77581AD0566F}">
      <text>
        <r>
          <rPr>
            <b/>
            <sz val="9"/>
            <color indexed="81"/>
            <rFont val="Tahoma"/>
            <family val="2"/>
          </rPr>
          <t>Rob Squire:</t>
        </r>
        <r>
          <rPr>
            <sz val="9"/>
            <color indexed="81"/>
            <rFont val="Tahoma"/>
            <family val="2"/>
          </rPr>
          <t xml:space="preserve">
Purchase of ICSH
Date of Purchase 12/10/24
Prior to the sale  
# of shares in account 120.0000
Cost basis per share 50.52
This action  
Shares purchased 30.0000
Price per share 50.52
Principal amount $1,515.60
Fees $0.00
Total paid $1,515.60
After the purchase  
New total # of shares in account 150
Cost basis per share  50.52
------------------------------------------------
Purchase of ICSH
Date of Purchase 12/27/24
Prior to the sale  
# of shares in account 150
Cost basis per share 50.52
This action  
Shares purchased 25.0000
Price per share 50.4
Principal amount $1,260.00
Fees $0.00
Total paid $1,260.00
After the purchase  
New total # of shares in account 175
Cost basis per share  50.5
</t>
        </r>
      </text>
    </comment>
    <comment ref="OI109" authorId="0" shapeId="0" xr:uid="{99BF91AB-7BBF-4869-B4B1-8ACBCA4DEB77}">
      <text>
        <r>
          <rPr>
            <b/>
            <sz val="9"/>
            <color indexed="81"/>
            <rFont val="Tahoma"/>
            <family val="2"/>
          </rPr>
          <t>Rob Squire:</t>
        </r>
        <r>
          <rPr>
            <sz val="9"/>
            <color indexed="81"/>
            <rFont val="Tahoma"/>
            <family val="2"/>
          </rPr>
          <t xml:space="preserve">
On 12/5/2024, all cash in account including proceeds from sale of FNBGX and the cash in SPAXX were transferred to the Joint account as part of an RMD transfer</t>
        </r>
      </text>
    </comment>
    <comment ref="OO109" authorId="0" shapeId="0" xr:uid="{66B213D5-A716-4D43-9497-46556C94B0F0}">
      <text>
        <r>
          <rPr>
            <b/>
            <sz val="9"/>
            <color indexed="81"/>
            <rFont val="Tahoma"/>
            <family val="2"/>
          </rPr>
          <t>Rob Squire:</t>
        </r>
        <r>
          <rPr>
            <sz val="9"/>
            <color indexed="81"/>
            <rFont val="Tahoma"/>
            <family val="2"/>
          </rPr>
          <t xml:space="preserve">
Sale of FNBGX
Date of Sale 12/4/24
Prior to the sale  
# of shares in account 1,547.988
Cost basis per share 9.69
This action  
Shares sold 1,590.191
Price per share 9.77
Note: 42.203 shares purchased through reinvestment of dividends
Principal amount $15,536.17
Fees $0.00
Total received $15,536.17
Cost basis of shares sold $15,408.95
Profit (loss) $127.22 
After the sale  
Total # of shares remaining 0.0000
Cost basis per share remains at 0
</t>
        </r>
      </text>
    </comment>
    <comment ref="L110" authorId="0" shapeId="0" xr:uid="{7A969926-4DA8-4717-883D-D1EBA1423CC3}">
      <text>
        <r>
          <rPr>
            <b/>
            <sz val="9"/>
            <color indexed="81"/>
            <rFont val="Tahoma"/>
            <family val="2"/>
          </rPr>
          <t>Rob Squire:</t>
        </r>
        <r>
          <rPr>
            <sz val="9"/>
            <color indexed="81"/>
            <rFont val="Tahoma"/>
            <family val="2"/>
          </rPr>
          <t xml:space="preserve">
Sale of JPM
Date of Sale 2/27/25
Prior to the sale  
# of shares in account 60
Cost basis per share 116.21
This action  
Shares sold 5
Price per share 258.952
Principal amount $1,294.76
Fees $0.04
Total received $1,294.72
Cost basis of shares sold $581.05
Profit (loss) $713.67 
After the sale  
Total # of shares remaining 55
Cost basis per share remains at 116.05
</t>
        </r>
      </text>
    </comment>
    <comment ref="Q110" authorId="0" shapeId="0" xr:uid="{ACD79F26-37B6-4FB7-B4B3-E0BFA51F16FF}">
      <text>
        <r>
          <rPr>
            <b/>
            <sz val="9"/>
            <color indexed="81"/>
            <rFont val="Tahoma"/>
            <family val="2"/>
          </rPr>
          <t>Rob Squire:</t>
        </r>
        <r>
          <rPr>
            <sz val="9"/>
            <color indexed="81"/>
            <rFont val="Tahoma"/>
            <family val="2"/>
          </rPr>
          <t xml:space="preserve">
Sale of TSM
Date of Sale 2/27/25
Prior to the sale  
# of shares in account 70
Cost basis per share 178.99
This action  
Shares sold 30
Price per share 182.7038
Principal amount $5,481.11
Fees $0.16
Total received $5,480.95
Cost basis of shares sold $5,369.70
Profit (loss) $111.25 
After the sale  
Total # of shares remaining 40
Cost basis per share remains at 162.35
</t>
        </r>
      </text>
    </comment>
    <comment ref="AH110" authorId="0" shapeId="0" xr:uid="{B56CCC45-1368-4650-851B-BE31142D78D2}">
      <text>
        <r>
          <rPr>
            <b/>
            <sz val="9"/>
            <color indexed="81"/>
            <rFont val="Tahoma"/>
            <family val="2"/>
          </rPr>
          <t>Rob Squire:</t>
        </r>
        <r>
          <rPr>
            <sz val="9"/>
            <color indexed="81"/>
            <rFont val="Tahoma"/>
            <family val="2"/>
          </rPr>
          <t xml:space="preserve">
Sale of AAPL
Date of Sale 2/24/25
Prior to the sale  
# of shares in account 75
Cost basis per share 175.0567
This action  
Shares sold 10
Price per share 247.4702
Principal amount $2,474.70
Fees $0.07
Total received $2,474.63
Cost basis of shares sold $1,750.57
Profit (loss) $724.07 
After the sale  
Total # of shares remaining 65
Cost basis per share remains at 175.0567
</t>
        </r>
      </text>
    </comment>
    <comment ref="BN110" authorId="0" shapeId="0" xr:uid="{BBD86619-29B9-4237-AED9-8899D3105A36}">
      <text>
        <r>
          <rPr>
            <b/>
            <sz val="9"/>
            <color indexed="81"/>
            <rFont val="Tahoma"/>
            <family val="2"/>
          </rPr>
          <t>Rob Squire:</t>
        </r>
        <r>
          <rPr>
            <sz val="9"/>
            <color indexed="81"/>
            <rFont val="Tahoma"/>
            <family val="2"/>
          </rPr>
          <t xml:space="preserve">
Purchase of IJR
Date of Purchase 2/27/25
Prior to the purchase  
# of shares in account 75
Cost basis per share 106.0553
This action  
Shares purchased 25
Price per share 111.1622
Principal amount $2,779.06
Fees $0.00
Total paid $2,779.06
After the purchase  
New total # of shares in account 100
Cost basis per share  107.33
</t>
        </r>
      </text>
    </comment>
    <comment ref="FY110" authorId="0" shapeId="0" xr:uid="{8F8A2F77-D9E2-4FC6-9784-25CFBA35D9BA}">
      <text>
        <r>
          <rPr>
            <b/>
            <sz val="9"/>
            <color indexed="81"/>
            <rFont val="Tahoma"/>
            <family val="2"/>
          </rPr>
          <t>Rob Squire:</t>
        </r>
        <r>
          <rPr>
            <sz val="9"/>
            <color indexed="81"/>
            <rFont val="Tahoma"/>
            <family val="2"/>
          </rPr>
          <t xml:space="preserve">
Sale of JPM
Date of Sale 2/27/25
Prior to the sale  
# of shares in account 60
Cost basis per share 116.21
This action  
Shares sold 5
Price per share 258.952
Principal amount $1,294.76
Fees $0.04
Total received $1,294.72
Cost basis of shares sold $581.05
Profit (loss) $713.67 
After the sale  
Total # of shares remaining 55
Cost basis per share remains at 116.05
</t>
        </r>
      </text>
    </comment>
    <comment ref="GP110" authorId="0" shapeId="0" xr:uid="{F58D2790-A927-43CC-A352-81CD793E6DB9}">
      <text>
        <r>
          <rPr>
            <b/>
            <sz val="9"/>
            <color indexed="81"/>
            <rFont val="Tahoma"/>
            <family val="2"/>
          </rPr>
          <t>Rob Squire:</t>
        </r>
        <r>
          <rPr>
            <sz val="9"/>
            <color indexed="81"/>
            <rFont val="Tahoma"/>
            <family val="2"/>
          </rPr>
          <t xml:space="preserve">
Sale of TSM
Date of Sale 2/27/25
Prior to the sale  
# of shares in account 70
Cost basis per share 178.99
This action  
Shares sold 30
Price per share 182.7038
Principal amount $5,481.11
Fees $0.16
Total received $5,480.95
Cost basis of shares sold $5,369.70
Profit (loss) $111.25 
After the sale  
Total # of shares remaining 40
Cost basis per share remains at 162.35
</t>
        </r>
      </text>
    </comment>
    <comment ref="HH110" authorId="0" shapeId="0" xr:uid="{68E87C97-D916-4720-9618-14B6AEB7A018}">
      <text>
        <r>
          <rPr>
            <b/>
            <sz val="9"/>
            <color indexed="81"/>
            <rFont val="Tahoma"/>
            <family val="2"/>
          </rPr>
          <t>Rob Squire:</t>
        </r>
        <r>
          <rPr>
            <sz val="9"/>
            <color indexed="81"/>
            <rFont val="Tahoma"/>
            <family val="2"/>
          </rPr>
          <t xml:space="preserve">
Sale of AAPL
Date of Sale 2/24/25
Prior to the sale  
# of shares in account 75
Cost basis per share 175.0567
This action  
Shares sold 10
Price per share 247.4702
Principal amount $2,474.70
Fees $0.07
Total received $2,474.63
Cost basis of shares sold $1,750.57
Profit (loss) $724.07 
After the sale  
Total # of shares remaining 65
Cost basis per share remains at 175.0567
</t>
        </r>
      </text>
    </comment>
    <comment ref="IS110" authorId="0" shapeId="0" xr:uid="{720E09EF-D47B-4FEF-9241-9DA0A52F33C2}">
      <text>
        <r>
          <rPr>
            <b/>
            <sz val="9"/>
            <color indexed="81"/>
            <rFont val="Tahoma"/>
            <family val="2"/>
          </rPr>
          <t>Rob Squire:</t>
        </r>
        <r>
          <rPr>
            <sz val="9"/>
            <color indexed="81"/>
            <rFont val="Tahoma"/>
            <family val="2"/>
          </rPr>
          <t xml:space="preserve">
Purchase of IJR
Date of Purchase 2/27/25
Prior to the purchase  
# of shares in account 75
Cost basis per share 106.0553
This action  
Shares purchased 25
Price per share 111.1622
Principal amount $2,779.06
Fees $0.00
Total paid $2,779.06
After the purchase  
New total # of shares in account 100
Cost basis per share  107.33
</t>
        </r>
      </text>
    </comment>
    <comment ref="IZ110" authorId="0" shapeId="0" xr:uid="{D9A421B6-D55F-4921-8E5D-0D3BA3D6FFFF}">
      <text>
        <r>
          <rPr>
            <b/>
            <sz val="9"/>
            <color indexed="81"/>
            <rFont val="Tahoma"/>
            <family val="2"/>
          </rPr>
          <t>Rob Squire:</t>
        </r>
        <r>
          <rPr>
            <sz val="9"/>
            <color indexed="81"/>
            <rFont val="Tahoma"/>
            <family val="2"/>
          </rPr>
          <t xml:space="preserve">
Sale of KO
Date of Sale 2/24/25
Prior to the sale  
# of shares in account 350
Cost basis per share 50.37
This action  
Shares sold 100
Price per share 71.1361
Principal amount $7,113.61
Fees $0.20
Total received $7,113.41
Cost basis of shares sold $5,037.00
Profit (loss) $2,076.41 
After the sale  
Total # of shares remaining 250
Cost basis per share remains at 49.36
</t>
        </r>
      </text>
    </comment>
    <comment ref="KU110" authorId="0" shapeId="0" xr:uid="{ACA0B480-0449-4E90-8584-9348C7852F95}">
      <text>
        <r>
          <rPr>
            <b/>
            <sz val="9"/>
            <color indexed="81"/>
            <rFont val="Tahoma"/>
            <family val="2"/>
          </rPr>
          <t>Rob Squire:</t>
        </r>
        <r>
          <rPr>
            <sz val="9"/>
            <color indexed="81"/>
            <rFont val="Tahoma"/>
            <family val="2"/>
          </rPr>
          <t xml:space="preserve">
Purchase of ZTS
Date of Purchase 2/24/25
Prior to the purchase  
# of shares in account 0
Cost basis per share N/A
This action  
Shares purchased 50
Price per share 163.6652
Principal amount $8,183.26
Fees $0.00
Total paid $8,183.26
After the purchase  
New total # of shares in account 50
Cost basis per share  163.6652
</t>
        </r>
      </text>
    </comment>
    <comment ref="J111" authorId="0" shapeId="0" xr:uid="{E73C8482-6B54-4A25-A727-07F108A19A3E}">
      <text>
        <r>
          <rPr>
            <b/>
            <sz val="9"/>
            <color indexed="81"/>
            <rFont val="Tahoma"/>
            <family val="2"/>
          </rPr>
          <t>Rob Squire:</t>
        </r>
        <r>
          <rPr>
            <sz val="9"/>
            <color indexed="81"/>
            <rFont val="Tahoma"/>
            <family val="2"/>
          </rPr>
          <t xml:space="preserve">
Purchase of IEMG
Date of Purchase 3/18/2025
Prior to the purchase  
# of shares in account 200
Cost basis per share 46.7154
This action  
Shares purchased 50
Price per share 55.6248
Principal amount $2,781.24
Fees $0.00
Total paid $2,781.24
After the purchase  
New total # of shares in account 250
Cost basis per share  48.5
</t>
        </r>
      </text>
    </comment>
    <comment ref="T111" authorId="0" shapeId="0" xr:uid="{192CAC0C-673A-426C-AD8D-6782FC868A70}">
      <text>
        <r>
          <rPr>
            <b/>
            <sz val="9"/>
            <color indexed="81"/>
            <rFont val="Tahoma"/>
            <family val="2"/>
          </rPr>
          <t>Rob Squire:</t>
        </r>
        <r>
          <rPr>
            <sz val="9"/>
            <color indexed="81"/>
            <rFont val="Tahoma"/>
            <family val="2"/>
          </rPr>
          <t xml:space="preserve">
Sale of VSS
Date of Sale 3/31/2025
Prior to the sale  
# of shares in account 60
Cost basis per share 109.33
This action  
Shares sold 20
Price per share 115.68
Principal amount $2,313.60
Fees $0.07
Total received $2,313.53
Cost basis of shares sold $2,186.60
Profit (loss) $126.93 
After the sale  
Total # of shares remaining 40
Cost basis per share remains at 109.33
</t>
        </r>
      </text>
    </comment>
    <comment ref="AL111" authorId="0" shapeId="0" xr:uid="{1DAE0EE6-07E8-4BF9-98A0-86B0EAF27F1A}">
      <text>
        <r>
          <rPr>
            <b/>
            <sz val="9"/>
            <color indexed="81"/>
            <rFont val="Tahoma"/>
            <family val="2"/>
          </rPr>
          <t>Rob Squire:</t>
        </r>
        <r>
          <rPr>
            <sz val="9"/>
            <color indexed="81"/>
            <rFont val="Tahoma"/>
            <family val="2"/>
          </rPr>
          <t xml:space="preserve">
Sale of AZO
Date of Sale 4/7/2025
Prior to the sale  
# of shares in account 6
Cost basis per share 1164.1974
This action  
Shares sold 1
Price per share 3483.2901
Principal amount $3,483.29
Fees $0.10
Total received $3,483.19
Cost basis of shares sold $1,164.20
Profit (loss) $2,318.99 
After the sale  
Total # of shares remaining 5
Cost basis per share remains at 1164.1974
</t>
        </r>
      </text>
    </comment>
    <comment ref="AO111" authorId="0" shapeId="0" xr:uid="{91C63756-F86B-4117-A41E-07E3BFF71951}">
      <text>
        <r>
          <rPr>
            <b/>
            <sz val="9"/>
            <color indexed="81"/>
            <rFont val="Tahoma"/>
            <family val="2"/>
          </rPr>
          <t>Rob Squire:</t>
        </r>
        <r>
          <rPr>
            <sz val="9"/>
            <color indexed="81"/>
            <rFont val="Tahoma"/>
            <family val="2"/>
          </rPr>
          <t xml:space="preserve">
Purchase of BX
Date of Purchase 4/7/2025
Prior to the purchase  
# of shares in account 0
Cost basis per share N/A
This action  
Shares purchased 60
Price per share 122.9304
Principal amount $7,375.82
Fees $0.00
Total paid $7,375.82
After the purchase  
New total # of shares in account 60
Cost basis per share  122.9304
</t>
        </r>
      </text>
    </comment>
    <comment ref="AP111" authorId="0" shapeId="0" xr:uid="{A7B1A506-CAF0-4AD8-B01A-820215B0750B}">
      <text>
        <r>
          <rPr>
            <b/>
            <sz val="9"/>
            <color indexed="81"/>
            <rFont val="Tahoma"/>
            <family val="2"/>
          </rPr>
          <t>Rob Squire:</t>
        </r>
        <r>
          <rPr>
            <sz val="9"/>
            <color indexed="81"/>
            <rFont val="Tahoma"/>
            <family val="2"/>
          </rPr>
          <t xml:space="preserve">
Purchase of CG
Date of Purchase 5/19/2025
Prior to the purchase  
# of shares in account 0
Cost basis per share N/A
This action  
Shares purchased 150
Price per share 47.4975
Principal amount $7,124.63
Fees $0.00
Total paid $7,124.63
After the purchase  
Date of purchase 5/19/2025
New total # of shares in account 150
Cost basis per share  47.4975
</t>
        </r>
      </text>
    </comment>
    <comment ref="AR111" authorId="0" shapeId="0" xr:uid="{BEE2DAF8-7163-4BDB-AB32-728191AF92FD}">
      <text>
        <r>
          <rPr>
            <b/>
            <sz val="9"/>
            <color indexed="81"/>
            <rFont val="Tahoma"/>
            <family val="2"/>
          </rPr>
          <t>Rob Squire:</t>
        </r>
        <r>
          <rPr>
            <sz val="9"/>
            <color indexed="81"/>
            <rFont val="Tahoma"/>
            <family val="2"/>
          </rPr>
          <t xml:space="preserve">
Purchase of CVX
Date of Purchase 4/14/2025
Prior to the purchase  
# of shares in account 50
Cost basis per share 147.7148
This action  
Shares purchased 30
Price per share 135.495
Principal amount $4,064.85
Fees $0.00
Total paid $4,064.85
After the purchase  
Date of purchase 4/14/2025
New total # of shares in account 80
Cost basis per share  143.13
</t>
        </r>
      </text>
    </comment>
    <comment ref="BF111" authorId="0" shapeId="0" xr:uid="{E5157137-834E-44D5-94DA-EA9706709A37}">
      <text>
        <r>
          <rPr>
            <b/>
            <sz val="9"/>
            <color indexed="81"/>
            <rFont val="Tahoma"/>
            <family val="2"/>
          </rPr>
          <t>Rob Squire:</t>
        </r>
        <r>
          <rPr>
            <sz val="9"/>
            <color indexed="81"/>
            <rFont val="Tahoma"/>
            <family val="2"/>
          </rPr>
          <t xml:space="preserve">
Purchase of GS
Date of Purchase 3/17/2025
Prior to the purchase  
# of shares in account 25
Cost basis per share 481.5581
This action  
Shares purchased 5
Price per share 553.65
Principal amount $2,768.25
Fees $0.00
Total paid $2,768.25
After the purchase  
New total # of shares in account 30
Cost basis per share  14.807
---------------------------------------------Purchase of GS
Date of Purchase 4/14/2025
Prior to the purchase  
# of shares in account 30
Cost basis per share 14.807
This action  
Shares purchased 5
Price per share 503.7104
Principal amount $2,518.55
Fees $0.00
Total paid $2,518.55
After the purchase  
Date of purchase 4/14/2025
New total # of shares in account 35
Cost basis per share  495.02
</t>
        </r>
      </text>
    </comment>
    <comment ref="BN111" authorId="0" shapeId="0" xr:uid="{08178910-B9D9-4327-88DA-C31326AF9DA3}">
      <text>
        <r>
          <rPr>
            <b/>
            <sz val="9"/>
            <color indexed="81"/>
            <rFont val="Tahoma"/>
            <family val="2"/>
          </rPr>
          <t>Rob Squire:</t>
        </r>
        <r>
          <rPr>
            <sz val="9"/>
            <color indexed="81"/>
            <rFont val="Tahoma"/>
            <family val="2"/>
          </rPr>
          <t xml:space="preserve">
Sale of IJR
Date of Sale 3/17/2025
Prior to the sale  
# of shares in account 100
Cost basis per share 107.33
This action  
Shares sold 65
Price per share 105.5644
Principal amount $6,861.69
Fees $0.20
Total received $6,861.49
Cost basis of shares sold $6,976.45
Profit (loss) ($114.96)
After the sale  
Total # of shares remaining 35
Cost basis per share remains at 106.06
</t>
        </r>
      </text>
    </comment>
    <comment ref="BO111" authorId="0" shapeId="0" xr:uid="{A81ABD9F-8F86-4063-9ECF-E21C5085C003}">
      <text>
        <r>
          <rPr>
            <b/>
            <sz val="9"/>
            <color indexed="81"/>
            <rFont val="Tahoma"/>
            <family val="2"/>
          </rPr>
          <t>Rob Squire:</t>
        </r>
        <r>
          <rPr>
            <sz val="9"/>
            <color indexed="81"/>
            <rFont val="Tahoma"/>
            <family val="2"/>
          </rPr>
          <t xml:space="preserve">
Purchase of JIRE
Date of Purchase 4/14/2025
Prior to the purchase  
# of shares in account 200
Cost basis per share 58.8016
This action  
Shares purchased 100
Price per share 62.1161
Principal amount $6,211.61
Fees $0.00
Total paid $6,211.61
After the purchase  
Date of purchase 4/14/2025
New total # of shares in account 300
Cost basis per share  59.91
</t>
        </r>
      </text>
    </comment>
    <comment ref="CH111" authorId="0" shapeId="0" xr:uid="{95EB4117-9EC0-49E2-9B41-BFC530D09C2C}">
      <text>
        <r>
          <rPr>
            <b/>
            <sz val="9"/>
            <color indexed="81"/>
            <rFont val="Tahoma"/>
            <family val="2"/>
          </rPr>
          <t>Rob Squire:</t>
        </r>
        <r>
          <rPr>
            <sz val="9"/>
            <color indexed="81"/>
            <rFont val="Tahoma"/>
            <family val="2"/>
          </rPr>
          <t xml:space="preserve">
Sale of UNH
Date of Sale 4/7/2025
Prior to the sale  
# of shares in account 45
Cost basis per share 378.08
This action  
Shares sold 5
Price per share 524.6201
Principal amount $2,623.10
Fees $0.08
Total received $2,623.02
Cost basis of shares sold $1,890.40
Profit (loss) $732.62 
After the sale  
Total # of shares remaining 40
Cost basis per share remains at 378.08
</t>
        </r>
      </text>
    </comment>
    <comment ref="CQ111" authorId="0" shapeId="0" xr:uid="{15C691F8-A0D9-4C22-9713-943CC3E0F904}">
      <text>
        <r>
          <rPr>
            <b/>
            <sz val="9"/>
            <color indexed="81"/>
            <rFont val="Tahoma"/>
            <family val="2"/>
          </rPr>
          <t>Rob Squire:</t>
        </r>
        <r>
          <rPr>
            <sz val="9"/>
            <color indexed="81"/>
            <rFont val="Tahoma"/>
            <family val="2"/>
          </rPr>
          <t xml:space="preserve">
Purchase of VNQ
Date of Purchase 5/2/2025
Prior to the purchase 
# of shares in account 0
Cost basis per share N/A
This action 
Shares purchased 125
Price per share 89.6486
Principal amount $11,206.08
Fees $0.00
Total paid $11,206.08
After the purchase 
Date of purchase 5/2/2025
New total # of shares in account 125
Cost basis per share  89.6486
</t>
        </r>
      </text>
    </comment>
    <comment ref="DK111" authorId="0" shapeId="0" xr:uid="{312A0209-71DA-45E4-84EB-E0050B39A8F3}">
      <text>
        <r>
          <rPr>
            <b/>
            <sz val="9"/>
            <color indexed="81"/>
            <rFont val="Tahoma"/>
            <family val="2"/>
          </rPr>
          <t>Rob Squire:</t>
        </r>
        <r>
          <rPr>
            <sz val="9"/>
            <color indexed="81"/>
            <rFont val="Tahoma"/>
            <family val="2"/>
          </rPr>
          <t xml:space="preserve">
Purchase of ICSH
Date of Purchase 3/6/25
Prior to the purchase  
# of shares in account 175
Cost basis per share 50.5
This action  
Shares purchased 25
Price per share 50.52
Principal amount $1,263.00
Fees $0.00
Total paid $1,263.00
After the purchase  
New total # of shares in account 200
Cost basis per share  50.5
</t>
        </r>
      </text>
    </comment>
    <comment ref="FU111" authorId="0" shapeId="0" xr:uid="{F9827648-9426-4742-82EE-EF6D455988A9}">
      <text>
        <r>
          <rPr>
            <b/>
            <sz val="9"/>
            <color indexed="81"/>
            <rFont val="Tahoma"/>
            <family val="2"/>
          </rPr>
          <t>Rob Squire:</t>
        </r>
        <r>
          <rPr>
            <sz val="9"/>
            <color indexed="81"/>
            <rFont val="Tahoma"/>
            <family val="2"/>
          </rPr>
          <t xml:space="preserve">
Purchase of IEMG
Date of Purchase 3/18/2025
Prior to the purchase  
# of shares in account 200
Cost basis per share 46.7154
This action  
Shares purchased 50
Price per share 55.6248
Principal amount $2,781.24
Fees $0.00
Total paid $2,781.24
After the purchase  
New total # of shares in account 250
Cost basis per share  48.5
</t>
        </r>
      </text>
    </comment>
    <comment ref="GR111" authorId="0" shapeId="0" xr:uid="{28888404-975F-4DBD-B2FB-D28FCA0EF846}">
      <text>
        <r>
          <rPr>
            <b/>
            <sz val="9"/>
            <color indexed="81"/>
            <rFont val="Tahoma"/>
            <family val="2"/>
          </rPr>
          <t>Rob Squire:</t>
        </r>
        <r>
          <rPr>
            <sz val="9"/>
            <color indexed="81"/>
            <rFont val="Tahoma"/>
            <family val="2"/>
          </rPr>
          <t xml:space="preserve">
Sale of UNP
Date of Sale 3/18/2025
Prior to the sale  
# of shares in account 55
Cost basis per share 227.7
This action  
Shares sold 15
Price per share 237.7672
Principal amount $3,566.51
Fees $0.10
Total received $3,566.41
Cost basis of shares sold $3,415.50
Profit (loss) $150.91 
After the sale  
Total # of shares remaining 40
Cost basis per share remains at 226.99
---------------------------------------------------
Sale of UNP
Date of Sale 3/31/2025
Prior to the sale  
# of shares in account 40
Cost basis per share 226.99
This action  
Shares sold 10
Price per share 237.81
Principal amount $2,378.10
Fees $0.07
Total received $2,378.03
Cost basis of shares sold $2,269.90
Profit (loss) $108.13 
After the sale  
Total # of shares remaining 30
Cost basis per share remains at 226.99
</t>
        </r>
      </text>
    </comment>
    <comment ref="GV111" authorId="0" shapeId="0" xr:uid="{83F58DD8-17F8-4C51-863C-C19B13EB1CE3}">
      <text>
        <r>
          <rPr>
            <b/>
            <sz val="9"/>
            <color indexed="81"/>
            <rFont val="Tahoma"/>
            <family val="2"/>
          </rPr>
          <t>Rob Squire:</t>
        </r>
        <r>
          <rPr>
            <sz val="9"/>
            <color indexed="81"/>
            <rFont val="Tahoma"/>
            <family val="2"/>
          </rPr>
          <t xml:space="preserve">
Sale of VSS
Date of Sale 3/31/2025
Prior to the sale  
# of shares in account 60
Cost basis per share 109.33
This action  
Shares sold 20
Price per share 115.68
Principal amount $2,313.60
Fees $0.07
Total received $2,313.53
Cost basis of shares sold $2,186.60
Profit (loss) $126.93 
After the sale  
Total # of shares remaining 40
Cost basis per share remains at 109.33
</t>
        </r>
      </text>
    </comment>
    <comment ref="HN111" authorId="0" shapeId="0" xr:uid="{7F2C8CFB-8A4A-421C-8180-E85D7AC444F9}">
      <text>
        <r>
          <rPr>
            <b/>
            <sz val="9"/>
            <color indexed="81"/>
            <rFont val="Tahoma"/>
            <family val="2"/>
          </rPr>
          <t>Rob Squire:</t>
        </r>
        <r>
          <rPr>
            <sz val="9"/>
            <color indexed="81"/>
            <rFont val="Tahoma"/>
            <family val="2"/>
          </rPr>
          <t xml:space="preserve">
Sale of AZO
Date of Sale 4/7/2025
Prior to the sale  
# of shares in account 6
Cost basis per share 1164.1974
This action  
Shares sold 1
Price per share 3483.2901
Principal amount $3,483.29
Fees $0.10
Total received $3,483.19
Cost basis of shares sold $1,164.20
Profit (loss) $2,318.99 
After the sale  
Total # of shares remaining 5
Cost basis per share remains at 1164.1974
</t>
        </r>
      </text>
    </comment>
    <comment ref="HR111" authorId="0" shapeId="0" xr:uid="{1E34D4E2-5A4B-4CA3-988D-D07B53274951}">
      <text>
        <r>
          <rPr>
            <b/>
            <sz val="9"/>
            <color indexed="81"/>
            <rFont val="Tahoma"/>
            <family val="2"/>
          </rPr>
          <t>Rob Squire:</t>
        </r>
        <r>
          <rPr>
            <sz val="9"/>
            <color indexed="81"/>
            <rFont val="Tahoma"/>
            <family val="2"/>
          </rPr>
          <t xml:space="preserve">
Sale of BK
Date of Sale 4/14/2025
Prior to the sale  
# of shares in account 150
Cost basis per share 43.3
This action  
Shares sold 150
Price per share 77.7458
Principal amount $11,661.87
Fees $0.07
Total received $11,661.80
Cost basis of shares sold $6,495.00
Profit (loss) $5,166.80 
After the sale  
Date of sale 4/14/2025
Total # of shares remaining 0
Cost basis per share remains at 0
</t>
        </r>
      </text>
    </comment>
    <comment ref="HS111" authorId="0" shapeId="0" xr:uid="{FB35313D-6EA9-47F7-98B0-73EFE39C5D68}">
      <text>
        <r>
          <rPr>
            <b/>
            <sz val="9"/>
            <color indexed="81"/>
            <rFont val="Tahoma"/>
            <family val="2"/>
          </rPr>
          <t>Rob Squire:</t>
        </r>
        <r>
          <rPr>
            <sz val="9"/>
            <color indexed="81"/>
            <rFont val="Tahoma"/>
            <family val="2"/>
          </rPr>
          <t xml:space="preserve">
Purchase of BX
Date of Purchase 4/7/2025
Prior to the purchase  
# of shares in account 0
Cost basis per share N/A
This action  
Shares purchased 60
Price per share 122.9304
Principal amount $7,375.82
Fees $0.00
Total paid $7,375.82
After the purchase  
New total # of shares in account 60
Cost basis per share  122.9304
</t>
        </r>
      </text>
    </comment>
    <comment ref="HU111" authorId="0" shapeId="0" xr:uid="{BAA8AA59-A729-49DA-8179-F297C927CCDE}">
      <text>
        <r>
          <rPr>
            <b/>
            <sz val="9"/>
            <color indexed="81"/>
            <rFont val="Tahoma"/>
            <family val="2"/>
          </rPr>
          <t>Rob Squire:</t>
        </r>
        <r>
          <rPr>
            <sz val="9"/>
            <color indexed="81"/>
            <rFont val="Tahoma"/>
            <family val="2"/>
          </rPr>
          <t xml:space="preserve">
Purchase of CG
Date of Purchase 5/19/2025
Prior to the purchase  
# of shares in account 0
Cost basis per share N/A
This action  
Shares purchased 150
Price per share 47.4975
Principal amount $7,124.63
Fees $0.00
Total paid $7,124.63
After the purchase  
Date of purchase 5/19/2025
New total # of shares in account 150
Cost basis per share  47.4975
</t>
        </r>
      </text>
    </comment>
    <comment ref="HW111" authorId="0" shapeId="0" xr:uid="{8AED3EBF-CE4C-45EF-9568-2B0DC81EFE5A}">
      <text>
        <r>
          <rPr>
            <b/>
            <sz val="9"/>
            <color indexed="81"/>
            <rFont val="Tahoma"/>
            <family val="2"/>
          </rPr>
          <t>Rob Squire:</t>
        </r>
        <r>
          <rPr>
            <sz val="9"/>
            <color indexed="81"/>
            <rFont val="Tahoma"/>
            <family val="2"/>
          </rPr>
          <t xml:space="preserve">
Sale of CPB
Date of Sale 3/17/2025
Prior to the sale  
# of shares in account 500
Cost basis per share 41.91
This action  
Shares sold 100
Price per share 39.1274
Principal amount $3,912.74
Fees $0.11
Total received $3,912.63
Cost basis of shares sold $4,191.00
Profit (loss) ($278.37)
After the sale  
Total # of shares remaining 400
Cost basis per share remains at 41.91
</t>
        </r>
      </text>
    </comment>
    <comment ref="IB111" authorId="0" shapeId="0" xr:uid="{65850509-CD9C-47CC-8C58-CC9AFD301D9D}">
      <text>
        <r>
          <rPr>
            <b/>
            <sz val="9"/>
            <color indexed="81"/>
            <rFont val="Tahoma"/>
            <family val="2"/>
          </rPr>
          <t>Rob Squire:</t>
        </r>
        <r>
          <rPr>
            <sz val="9"/>
            <color indexed="81"/>
            <rFont val="Tahoma"/>
            <family val="2"/>
          </rPr>
          <t xml:space="preserve">
Purchase of CVX
Date of Purchase 4/14/2025
Prior to the purchase  
# of shares in account 50
Cost basis per share 147.7148
This action  
Shares purchased 30
Price per share 135.495
Principal amount $4,064.85
Fees $0.00
Total paid $4,064.85
After the purchase  
Date of purchase 4/14/2025
New total # of shares in account 80
Cost basis per share  143.13
</t>
        </r>
      </text>
    </comment>
    <comment ref="IN111" authorId="0" shapeId="0" xr:uid="{26B61A40-7D82-4AA2-946C-40D238C1C252}">
      <text>
        <r>
          <rPr>
            <b/>
            <sz val="9"/>
            <color indexed="81"/>
            <rFont val="Tahoma"/>
            <family val="2"/>
          </rPr>
          <t>Rob Squire:</t>
        </r>
        <r>
          <rPr>
            <sz val="9"/>
            <color indexed="81"/>
            <rFont val="Tahoma"/>
            <family val="2"/>
          </rPr>
          <t xml:space="preserve">
Purchase of GS
Date of Purchase 3/17/2025
Prior to the purchase  
# of shares in account 25
Cost basis per share 481.5581
This action  
Shares purchased 5
Price per share 553.65
Principal amount $2,768.25
Fees $0.00
Total paid $2,768.25
After the purchase  
New total # of shares in account 30
Cost basis per share  14.807
---------------------------------------------Purchase of GS
Date of Purchase 4/14/2025
Prior to the purchase  
# of shares in account 30
Cost basis per share 14.807
This action  
Shares purchased 5
Price per share 503.7104
Principal amount $2,518.55
Fees $0.00
Total paid $2,518.55
After the purchase  
Date of purchase 4/14/2025
New total # of shares in account 35
Cost basis per share  495.02
</t>
        </r>
      </text>
    </comment>
    <comment ref="IS111" authorId="0" shapeId="0" xr:uid="{F57E1B4D-4BE9-4582-B03B-00DD59D51825}">
      <text>
        <r>
          <rPr>
            <b/>
            <sz val="9"/>
            <color indexed="81"/>
            <rFont val="Tahoma"/>
            <family val="2"/>
          </rPr>
          <t>Rob Squire:</t>
        </r>
        <r>
          <rPr>
            <sz val="9"/>
            <color indexed="81"/>
            <rFont val="Tahoma"/>
            <family val="2"/>
          </rPr>
          <t xml:space="preserve">
Sale of IJR
Date of Sale 3/17/2025
Prior to the sale  
# of shares in account 100
Cost basis per share 107.33
This action  
Shares sold 65
Price per share 105.5644
Principal amount $6,861.69
Fees $0.20
Total received $6,861.49
Cost basis of shares sold $6,976.45
Profit (loss) ($114.96)
After the sale  
Total # of shares remaining 35
Cost basis per share remains at 106.06
</t>
        </r>
      </text>
    </comment>
    <comment ref="IV111" authorId="0" shapeId="0" xr:uid="{0166CBD0-86B9-452D-91D2-13B5D5D836FB}">
      <text>
        <r>
          <rPr>
            <b/>
            <sz val="9"/>
            <color indexed="81"/>
            <rFont val="Tahoma"/>
            <family val="2"/>
          </rPr>
          <t>Rob Squire:</t>
        </r>
        <r>
          <rPr>
            <sz val="9"/>
            <color indexed="81"/>
            <rFont val="Tahoma"/>
            <family val="2"/>
          </rPr>
          <t xml:space="preserve">
Purchase of JIRE
Date of Purchase 4/14/2025
Prior to the purchase  
# of shares in account 200
Cost basis per share 58.8016
This action  
Shares purchased 100
Price per share 62.1161
Principal amount $6,211.61
Fees $0.00
Total paid $6,211.61
After the purchase  
Date of purchase 4/14/2025
New total # of shares in account 300
Cost basis per share  59.91
</t>
        </r>
      </text>
    </comment>
    <comment ref="JB111" authorId="0" shapeId="0" xr:uid="{E5607E45-4BAF-4ABF-A52E-D5D4E94957CF}">
      <text>
        <r>
          <rPr>
            <b/>
            <sz val="9"/>
            <color indexed="81"/>
            <rFont val="Tahoma"/>
            <family val="2"/>
          </rPr>
          <t>Rob Squire:</t>
        </r>
        <r>
          <rPr>
            <sz val="9"/>
            <color indexed="81"/>
            <rFont val="Tahoma"/>
            <family val="2"/>
          </rPr>
          <t xml:space="preserve">
Purchase of LINE
Date of Purchase 3/17/2025
Prior to the purchase  
# of shares in account 190
Cost basis per share 74.1215
This action  
Shares purchased 60
Price per share 59.6742
Principal amount $3,580.45
Fees $0.00
Total paid $3,580.45
After the purchase  
New total # of shares in account 250
Cost basis per share  70.65
-----------------------------------------------
Sale of LINE
Date of Sale 5/2/2025
Prior to the sale 
# of shares in account 250
Cost basis per share 70.65
This action 
Shares sold 250
Price per share 45.84
Principal amount $11,460.00
Fees $0.32
Total received $11,459.68
Cost basis of shares sold $17,662.50
Profit (loss) ($6,202.82)
After the sale 
Date of sale 5/2/2025
Total # of shares remaining 0
Cost basis per share remains at 0
</t>
        </r>
      </text>
    </comment>
    <comment ref="JG111" authorId="0" shapeId="0" xr:uid="{155FA103-0C51-4FBE-A065-0C054A4ECBE7}">
      <text>
        <r>
          <rPr>
            <b/>
            <sz val="9"/>
            <color indexed="81"/>
            <rFont val="Tahoma"/>
            <family val="2"/>
          </rPr>
          <t>Rob Squire:</t>
        </r>
        <r>
          <rPr>
            <sz val="9"/>
            <color indexed="81"/>
            <rFont val="Tahoma"/>
            <family val="2"/>
          </rPr>
          <t xml:space="preserve">
Purchase of MAT
Date of Purchase 3/17/2025
Prior to the purchase  
# of shares in account 0
Cost basis per share N/A
This action  
Shares purchased 475
Price per share 20.0004
Principal amount $9,500.19
Fees $0.00
Total paid $9,500.19
After the purchase  
New total # of shares in account 475
Cost basis per share  20.0004
</t>
        </r>
      </text>
    </comment>
    <comment ref="JX111" authorId="0" shapeId="0" xr:uid="{F325E855-C5EA-43B7-ACE7-90742CA90FC1}">
      <text>
        <r>
          <rPr>
            <b/>
            <sz val="9"/>
            <color indexed="81"/>
            <rFont val="Tahoma"/>
            <family val="2"/>
          </rPr>
          <t>Rob Squire:</t>
        </r>
        <r>
          <rPr>
            <sz val="9"/>
            <color indexed="81"/>
            <rFont val="Tahoma"/>
            <family val="2"/>
          </rPr>
          <t xml:space="preserve">
Sale of UNH
Date of Sale 4/7/2025
Prior to the sale  
# of shares in account 45
Cost basis per share 378.08
This action  
Shares sold 5
Price per share 524.6201
Principal amount $2,623.10
Fees $0.08
Total received $2,623.02
Cost basis of shares sold $1,890.40
Profit (loss) $732.62 
After the sale  
Total # of shares remaining 40
Cost basis per share remains at 378.08
</t>
        </r>
      </text>
    </comment>
    <comment ref="KL111" authorId="0" shapeId="0" xr:uid="{677A18F9-2D98-46DE-9EC2-528D601D3055}">
      <text>
        <r>
          <rPr>
            <b/>
            <sz val="9"/>
            <color indexed="81"/>
            <rFont val="Tahoma"/>
            <family val="2"/>
          </rPr>
          <t>Rob Squire:</t>
        </r>
        <r>
          <rPr>
            <sz val="9"/>
            <color indexed="81"/>
            <rFont val="Tahoma"/>
            <family val="2"/>
          </rPr>
          <t xml:space="preserve">
Purchase of VNQ
Date of Purchase 5/2/2025
Prior to the purchase 
# of shares in account 0
Cost basis per share N/A
This action 
Shares purchased 125
Price per share 89.6486
Principal amount $11,206.08
Fees $0.00
Total paid $11,206.08
After the purchase 
Date of purchase 5/2/2025
New total # of shares in account 125
Cost basis per share  89.6486
</t>
        </r>
      </text>
    </comment>
    <comment ref="LZ111" authorId="0" shapeId="0" xr:uid="{693ADEED-A476-4EA1-9B12-D6544A5084CF}">
      <text>
        <r>
          <rPr>
            <b/>
            <sz val="9"/>
            <color indexed="81"/>
            <rFont val="Tahoma"/>
            <family val="2"/>
          </rPr>
          <t>Rob Squire:</t>
        </r>
        <r>
          <rPr>
            <sz val="9"/>
            <color indexed="81"/>
            <rFont val="Tahoma"/>
            <family val="2"/>
          </rPr>
          <t xml:space="preserve">
Purchase of ICSH
Date of Purchase 3/6/25
Prior to the purchase  
# of shares in account 175
Cost basis per share 50.5
This action  
Shares purchased 25
Price per share 50.52
Principal amount $1,263.00
Fees $0.00
Total paid $1,263.00
After the purchase  
New total # of shares in account 200
Cost basis per share  50.5
</t>
        </r>
      </text>
    </comment>
    <comment ref="MG111" authorId="0" shapeId="0" xr:uid="{B3B4F8F8-105C-455C-8F65-62C7E241A891}">
      <text>
        <r>
          <rPr>
            <b/>
            <sz val="9"/>
            <color indexed="81"/>
            <rFont val="Tahoma"/>
            <family val="2"/>
          </rPr>
          <t>Rob Squire:</t>
        </r>
        <r>
          <rPr>
            <sz val="9"/>
            <color indexed="81"/>
            <rFont val="Tahoma"/>
            <family val="2"/>
          </rPr>
          <t xml:space="preserve">
Purchase of LINE
Date of Purchase 4/14/2025
Prior to the purchase  
# of shares in account 65
Cost basis per share 74.1215
This action  
Shares purchased 20
Price per share 54.772
Principal amount $1,095.44
Fees $0.00
Total paid $1,095.44
After the purchase  
Date of purchase 4/14/2025
New total # of shares in account 85
Cost basis per share  69.57
-------------------------------------
Sale of LINE
Date of Sale 5/2/2025
Prior to the sale 
# of shares in account 85
Cost basis per share 69.57
This action 
Shares sold 85
Price per share 45.84
Principal amount $3,896.40
Fees $0.11
Total received $3,896.29
Cost basis of shares sold $5,913.45
Profit (loss) ($2,017.16)
After the sale 
Date of sale 5/2/2025
Total # of shares remaining 0
Cost basis per share remains at 0
</t>
        </r>
      </text>
    </comment>
    <comment ref="NH111" authorId="0" shapeId="0" xr:uid="{0F06A674-919A-46FE-A783-A64402AAC2B5}">
      <text>
        <r>
          <rPr>
            <b/>
            <sz val="9"/>
            <color indexed="81"/>
            <rFont val="Tahoma"/>
            <family val="2"/>
          </rPr>
          <t>Rob Squire:</t>
        </r>
        <r>
          <rPr>
            <sz val="9"/>
            <color indexed="81"/>
            <rFont val="Tahoma"/>
            <family val="2"/>
          </rPr>
          <t xml:space="preserve">
Purchase of VNQ
Date of Purchase 5/2/2025
Prior to the purchase 
# of shares in account 0
Cost basis per share N/A
This action 
Shares purchased 45
Price per share 89.6486
Principal amount $4,034.19
Fees $0.00
Total paid $4,034.19
After the purchase 
Date of purchase 5/2/2025
New total # of shares in account 45
Cost basis per share  89.6486
</t>
        </r>
      </text>
    </comment>
    <comment ref="H112" authorId="0" shapeId="0" xr:uid="{5CAF8D91-C677-47E1-BB16-10726EB34128}">
      <text>
        <r>
          <rPr>
            <b/>
            <sz val="9"/>
            <color indexed="81"/>
            <rFont val="Tahoma"/>
            <family val="2"/>
          </rPr>
          <t>Rob Squire:</t>
        </r>
        <r>
          <rPr>
            <sz val="9"/>
            <color indexed="81"/>
            <rFont val="Tahoma"/>
            <family val="2"/>
          </rPr>
          <t xml:space="preserve">
Sale of GE
Date of Sale 7/31/2025
Prior to the sale  
# of shares in account 50
Cost basis per share 167.6384
This action  
Shares sold 10
Price per share 271.46
Principal amount $2,714.60
Fees $0.00
Total received $2,714.60
Cost basis of shares sold $1,676.38
Profit (loss) $1,038.22 
After the sale  
Date of sale 7/31/2025
Total # of shares remaining 40
Cost basis per share remains at 167.6384
</t>
        </r>
      </text>
    </comment>
    <comment ref="I112" authorId="0" shapeId="0" xr:uid="{9A3B9BB0-3A0A-4F0D-85B6-8B4793485627}">
      <text>
        <r>
          <rPr>
            <b/>
            <sz val="9"/>
            <color indexed="81"/>
            <rFont val="Tahoma"/>
            <family val="2"/>
          </rPr>
          <t>Rob Squire:</t>
        </r>
        <r>
          <rPr>
            <sz val="9"/>
            <color indexed="81"/>
            <rFont val="Tahoma"/>
            <family val="2"/>
          </rPr>
          <t xml:space="preserve">
Sale of IEFA
Date of Sale 7/14/2025
Prior to the sale  
# of shares in account 400
Cost basis per share 63.68
This action  
Shares sold 100
Price per share 82.9434
Principal amount $8,294.34
Fees $0.00
Total received $8,294.34
Cost basis of shares sold $6,368.00
Profit (loss) $1,926.34 
After the sale  
Date of sale 7/14/2025
Total # of shares remaining 300
Cost basis per share remains at 63.35
</t>
        </r>
      </text>
    </comment>
    <comment ref="J112" authorId="0" shapeId="0" xr:uid="{2CF21407-EA6A-45C2-9CE8-6460A8C0F860}">
      <text>
        <r>
          <rPr>
            <b/>
            <sz val="9"/>
            <color indexed="81"/>
            <rFont val="Tahoma"/>
            <family val="2"/>
          </rPr>
          <t>Rob Squire:</t>
        </r>
        <r>
          <rPr>
            <sz val="9"/>
            <color indexed="81"/>
            <rFont val="Tahoma"/>
            <family val="2"/>
          </rPr>
          <t xml:space="preserve">
Sale of IEMG
Date of Sale 6/30/2025
Prior to the sale  
# of shares in account 250
Cost basis per share 48.5
This action  
Shares sold 100
Price per share 59.96
Principal amount $5,996.00
Fees $0.00
Total received $5,996.00
Cost basis of shares sold $4,850.00
Profit (loss) $1,146.00 
After the sale  
Date of sale 6/30/2025
Total # of shares remaining 150
Cost basis per share remains at 49.7
</t>
        </r>
      </text>
    </comment>
    <comment ref="K112" authorId="0" shapeId="0" xr:uid="{87B79CA5-F6DB-4C5C-97E6-69931590E801}">
      <text>
        <r>
          <rPr>
            <b/>
            <sz val="9"/>
            <color indexed="81"/>
            <rFont val="Tahoma"/>
            <family val="2"/>
          </rPr>
          <t>Rob Squire:</t>
        </r>
        <r>
          <rPr>
            <sz val="9"/>
            <color indexed="81"/>
            <rFont val="Tahoma"/>
            <family val="2"/>
          </rPr>
          <t xml:space="preserve">
Sale of IJR
Date of Sale 5/29/2025
Prior to the sale  
# of shares in account 140
Cost basis per share 80.68
This action  
Shares sold 60
Price per share 105.73
Principal amount $6,343.80
Fees $0.00
Total received $6,343.80
Cost basis of shares sold $4,840.80
Profit (loss) $1,503.00 
After the sale  
Date of sale 5/29/2025
Total # of shares remaining 80
Cost basis per share remains at 80.68
</t>
        </r>
      </text>
    </comment>
    <comment ref="N112" authorId="0" shapeId="0" xr:uid="{57A7D903-43B5-4A31-B17D-0E6F6E8C6FD6}">
      <text>
        <r>
          <rPr>
            <b/>
            <sz val="9"/>
            <color indexed="81"/>
            <rFont val="Tahoma"/>
            <family val="2"/>
          </rPr>
          <t>Rob Squire:</t>
        </r>
        <r>
          <rPr>
            <sz val="9"/>
            <color indexed="81"/>
            <rFont val="Tahoma"/>
            <family val="2"/>
          </rPr>
          <t xml:space="preserve">
Purchase of OTIS
Date of Purchase 7/14/2025
Prior to the purchase  
# of shares in account 0
Cost basis per share N/A
This action  
Shares purchased 75
Price per share 99.6785
Principal amount $7,475.89
Fees $0.00
Total paid $7,475.89
After the purchase  
Date of purchase 7/14/2025
New total # of shares in account 75
Cost basis per share  99.6785
</t>
        </r>
      </text>
    </comment>
    <comment ref="AJ112" authorId="0" shapeId="0" xr:uid="{D2FEFBA8-BFFB-4775-AB18-2123A55466C0}">
      <text>
        <r>
          <rPr>
            <b/>
            <sz val="9"/>
            <color indexed="81"/>
            <rFont val="Tahoma"/>
            <family val="2"/>
          </rPr>
          <t>Rob Squire:</t>
        </r>
        <r>
          <rPr>
            <sz val="9"/>
            <color indexed="81"/>
            <rFont val="Tahoma"/>
            <family val="2"/>
          </rPr>
          <t xml:space="preserve">
Sale of AMZN
Date of Sale 6/11/2025
Prior to the sale  
# of shares in account 105
Cost basis per share 159.24
This action  
Shares sold 25
Price per share 215.5376
Principal amount $5,388.44
Fees $0.00
Total received $5,388.44
Cost basis of shares sold $3,981.00
Profit (loss) $1,407.44 
After the sale  
Date of sale 6/11/2025
Total # of shares remaining 80
Cost basis per share remains at 167.51
</t>
        </r>
      </text>
    </comment>
    <comment ref="AQ112" authorId="0" shapeId="0" xr:uid="{03F6D5BB-5183-4BFC-9A52-7066964FC1E0}">
      <text>
        <r>
          <rPr>
            <b/>
            <sz val="9"/>
            <color indexed="81"/>
            <rFont val="Tahoma"/>
            <family val="2"/>
          </rPr>
          <t>Rob Squire:</t>
        </r>
        <r>
          <rPr>
            <sz val="9"/>
            <color indexed="81"/>
            <rFont val="Tahoma"/>
            <family val="2"/>
          </rPr>
          <t xml:space="preserve">
Purchase of CRH
Date of Purchase 5/19/2025
Prior to the purchase  
# of shares in account 0
Cost basis per share N/A
This action  
Shares purchased 75
Price per share 98.0279
Principal amount $7,352.09
Fees $0.00
Total paid $7,352.09
After the purchase  
Date of purchase 5/19/2025
New total # of shares in account 75
Cost basis per share  98.0279
--------------------------------
Purchase of CRH
Date of Purchase 7/14/2025
Prior to the purchase  
# of shares in account 75
Cost basis per share 98
This action  
Shares purchased 25
Price per share 92.72
Principal amount $2,318.00
Fees $0.00
Total paid $2,318.00
After the purchase  
Date of purchase 7/14/2025
New total # of shares in account 100
Cost basis per share  96.7
</t>
        </r>
      </text>
    </comment>
    <comment ref="AW112" authorId="0" shapeId="0" xr:uid="{7261C0EB-F471-4822-BE63-CE9C5F0E952A}">
      <text>
        <r>
          <rPr>
            <b/>
            <sz val="9"/>
            <color indexed="81"/>
            <rFont val="Tahoma"/>
            <family val="2"/>
          </rPr>
          <t>Rob Squire:</t>
        </r>
        <r>
          <rPr>
            <sz val="9"/>
            <color indexed="81"/>
            <rFont val="Tahoma"/>
            <family val="2"/>
          </rPr>
          <t xml:space="preserve">
Purchase of FLUT
Date of Purchase 5/19/2025
Prior to the purchase  
# of shares in account 0
Cost basis per share N/A
This action  
Shares purchased 30
Price per share 248.9159
Principal amount $7,467.48
Fees $0.00
Total paid $7,467.48
After the purchase  
Date of purchase 5/19/2025
New total # of shares in account 30
Cost basis per share  248.9159
</t>
        </r>
      </text>
    </comment>
    <comment ref="BD112" authorId="0" shapeId="0" xr:uid="{92F69D50-DC82-48FA-A759-0F8572BCC1F4}">
      <text>
        <r>
          <rPr>
            <b/>
            <sz val="9"/>
            <color indexed="81"/>
            <rFont val="Tahoma"/>
            <family val="2"/>
          </rPr>
          <t>Rob Squire:</t>
        </r>
        <r>
          <rPr>
            <sz val="9"/>
            <color indexed="81"/>
            <rFont val="Tahoma"/>
            <family val="2"/>
          </rPr>
          <t xml:space="preserve">
Purchase of GE
Date of Purchase 6/4/2025
Prior to the purchase  
# of shares in account 0
Cost basis per share N/A
This action  
Shares purchased 20
Price per share 251.5627
Principal amount $5,031.25
Fees $0.00
Total paid $5,031.25
After the purchase  
Date of purchase 6/4/2025
New total # of shares in account 20
Cost basis per share  251.5627
</t>
        </r>
      </text>
    </comment>
    <comment ref="BE112" authorId="0" shapeId="0" xr:uid="{0009AF20-6509-4469-A7A4-2A3AD3A293FF}">
      <text>
        <r>
          <rPr>
            <b/>
            <sz val="9"/>
            <color indexed="81"/>
            <rFont val="Tahoma"/>
            <family val="2"/>
          </rPr>
          <t>Rob Squire:</t>
        </r>
        <r>
          <rPr>
            <sz val="9"/>
            <color indexed="81"/>
            <rFont val="Tahoma"/>
            <family val="2"/>
          </rPr>
          <t xml:space="preserve">
Sale of GOOGL
Date of Sale 5/19/2025
Prior to the sale  
# of shares in account 80
Cost basis per share 89.01
This action  
Shares sold 10
Price per share 165.905
Principal amount $1,659.05
Fees $0.00
Total received $1,659.05
Cost basis of shares sold $890.10
Profit (loss) $768.95 
After the sale  
Date of sale 5/19/2025
Total # of shares remaining 70
Cost basis per share remains at 89.01
</t>
        </r>
      </text>
    </comment>
    <comment ref="BF112" authorId="0" shapeId="0" xr:uid="{5CAA977A-8339-49E6-BFE6-117E5EAD2E91}">
      <text>
        <r>
          <rPr>
            <b/>
            <sz val="9"/>
            <color indexed="81"/>
            <rFont val="Tahoma"/>
            <family val="2"/>
          </rPr>
          <t>Rob Squire:</t>
        </r>
        <r>
          <rPr>
            <sz val="9"/>
            <color indexed="81"/>
            <rFont val="Tahoma"/>
            <family val="2"/>
          </rPr>
          <t xml:space="preserve">
Sale of GS
Date of Sale 5/19/2025
Prior to the sale  
# of shares in account 35
Cost basis per share 495.02
This action  
Shares sold 10
Price per share 611.4377
Principal amount $6,114.38
Fees $0.00
Total received $6,114.38
Cost basis of shares sold $4,950.20
Profit (loss) $1,164.18 
After the sale  
Date of sale 5/19/2025
Total # of shares remaining 25
Cost basis per share remains at 481.56
--------------------------------------------------------
Sale of GS
Date of Sale 6/11/2025
Prior to the sale  
# of shares in account 25
Cost basis per share 482
This action  
Shares sold 7
Price per share 624.51
Principal amount $4,371.57
Fees $0.00
Total received $4,371.57
Cost basis of shares sold $3,370.92
Profit (loss) $1,000.65 
After the sale  
Date of sale 6/11/2025
Total # of shares remaining 18
Cost basis per share remains at 481.56
--------------------------------------------------
Sale of GS
Date of Sale 7/14/2025
Prior to the sale  
# of shares in account 18
Cost basis per share 482
This action  
Shares sold 5
Price per share 705.88
Principal amount $3,529.40
Fees $0.00
Total received $3,529.40
Cost basis of shares sold $2,407.80
Profit (loss) $1,121.60 
After the sale  
Date of sale 7/14/2025
Total # of shares remaining 13
Cost basis per share remains at 481.56
</t>
        </r>
      </text>
    </comment>
    <comment ref="BM112" authorId="0" shapeId="0" xr:uid="{4E1403A8-3FF9-48A2-9A11-65784E237C07}">
      <text>
        <r>
          <rPr>
            <b/>
            <sz val="9"/>
            <color indexed="81"/>
            <rFont val="Tahoma"/>
            <family val="2"/>
          </rPr>
          <t>Rob Squire:</t>
        </r>
        <r>
          <rPr>
            <sz val="9"/>
            <color indexed="81"/>
            <rFont val="Tahoma"/>
            <family val="2"/>
          </rPr>
          <t xml:space="preserve">
Purchase of IJH
Date of Purchase 5/19/2025
Prior to the purchase  
# of shares in account 250
Cost basis per share 45.07
This action  
Shares purchased 50
Price per share 61.445
Principal amount $3,072.25
Fees $0.00
Total paid $3,072.25
After the purchase  
Date of purchase 5/19/2025
New total # of shares in account 300
Cost basis per share  59.5
</t>
        </r>
      </text>
    </comment>
    <comment ref="BN112" authorId="0" shapeId="0" xr:uid="{6AB0E4B1-B1D0-4727-836B-723163787044}">
      <text>
        <r>
          <rPr>
            <b/>
            <sz val="9"/>
            <color indexed="81"/>
            <rFont val="Tahoma"/>
            <family val="2"/>
          </rPr>
          <t>Rob Squire:</t>
        </r>
        <r>
          <rPr>
            <sz val="9"/>
            <color indexed="81"/>
            <rFont val="Tahoma"/>
            <family val="2"/>
          </rPr>
          <t xml:space="preserve">
Sale of IJR
Date of Sale 5/19/2025
Prior to the sale  
# of shares in account 35
Cost basis per share 106.06
This action  
Shares sold 25
Price per share 107.3159
Principal amount $2,682.90
Fees $0.00
Total received $2,682.90
Cost basis of shares sold $2,651.50
Profit (loss) $31.40 
After the sale  
Date of sale 5/19/2025
Total # of shares remaining 10
Cost basis per share remains at 106.06
</t>
        </r>
      </text>
    </comment>
    <comment ref="BX112" authorId="0" shapeId="0" xr:uid="{CB4B70E0-FAD6-4774-B259-EAC5D7E8082A}">
      <text>
        <r>
          <rPr>
            <b/>
            <sz val="9"/>
            <color indexed="81"/>
            <rFont val="Tahoma"/>
            <family val="2"/>
          </rPr>
          <t>Rob Squire:</t>
        </r>
        <r>
          <rPr>
            <sz val="9"/>
            <color indexed="81"/>
            <rFont val="Tahoma"/>
            <family val="2"/>
          </rPr>
          <t xml:space="preserve">
Sale of PEG
Date of Sale 5/19/2025
Prior to the sale  
# of shares in account 80
Cost basis per share 61.55
This action  
Shares sold 15
Price per share 79.33
Principal amount $1,189.95
Fees $0.00
Total received $1,189.95
Cost basis of shares sold $923.25
Profit (loss) $266.70 
After the sale  
Date of sale 5/19/2025
Total # of shares remaining 65
Cost basis per share remains at 61.25
</t>
        </r>
      </text>
    </comment>
    <comment ref="BZ112" authorId="0" shapeId="0" xr:uid="{4D54D4AA-6892-4AED-9188-4A0C60D04AA5}">
      <text>
        <r>
          <rPr>
            <b/>
            <sz val="9"/>
            <color indexed="81"/>
            <rFont val="Tahoma"/>
            <family val="2"/>
          </rPr>
          <t>Rob Squire:</t>
        </r>
        <r>
          <rPr>
            <sz val="9"/>
            <color indexed="81"/>
            <rFont val="Tahoma"/>
            <family val="2"/>
          </rPr>
          <t xml:space="preserve">
Sale of PPL
Date of Sale 5/19/2025
Prior to the sale  
# of shares in account 225
Cost basis per share 28.5
This action  
Shares sold 45
Price per share 34.8854
Principal amount $1,569.84
Fees $0.00
Total received $1,569.84
Cost basis of shares sold $1,282.50
Profit (loss) $287.34 
After the sale  
Date of sale 5/19/2025
Total # of shares remaining 180
Cost basis per share remains at 28.5
</t>
        </r>
      </text>
    </comment>
    <comment ref="CG112" authorId="0" shapeId="0" xr:uid="{185DB875-26F5-48AE-81D4-8375567FFC59}">
      <text>
        <r>
          <rPr>
            <b/>
            <sz val="9"/>
            <color indexed="81"/>
            <rFont val="Tahoma"/>
            <family val="2"/>
          </rPr>
          <t>Rob Squire:</t>
        </r>
        <r>
          <rPr>
            <sz val="9"/>
            <color indexed="81"/>
            <rFont val="Tahoma"/>
            <family val="2"/>
          </rPr>
          <t xml:space="preserve">
Sale of UBER
Date of Sale 5/19/2025
Prior to the sale  
# of shares in account 300
Cost basis per share 68.79
This action  
Shares sold 50
Price per share 91.6978
Principal amount $4,584.89
Fees $0.00
Total received $4,584.89
Cost basis of shares sold $3,439.50
Profit (loss) $1,145.39 
After the sale  
Date of sale 5/19/2025
Total # of shares remaining 250
Cost basis per share remains at 68.24
</t>
        </r>
      </text>
    </comment>
    <comment ref="CH112" authorId="0" shapeId="0" xr:uid="{8269CAC1-A861-49B7-8C88-5E10B51FC116}">
      <text>
        <r>
          <rPr>
            <b/>
            <sz val="9"/>
            <color indexed="81"/>
            <rFont val="Tahoma"/>
            <family val="2"/>
          </rPr>
          <t>Rob Squire:</t>
        </r>
        <r>
          <rPr>
            <sz val="9"/>
            <color indexed="81"/>
            <rFont val="Tahoma"/>
            <family val="2"/>
          </rPr>
          <t xml:space="preserve">
Purchase of UNH
Date of Purchase 5/19/2025
Prior to the purchase  
# of shares in account 40
Cost basis per share 378.08
This action  
Shares purchased 20
Price per share 308.0378
Principal amount $6,160.76
Fees $0.00
Total paid $6,160.76
After the purchase  
Date of purchase 5/19/2025
New total # of shares in account 60
Cost basis per share  350.7
</t>
        </r>
      </text>
    </comment>
    <comment ref="CO112" authorId="0" shapeId="0" xr:uid="{B140AF7E-EA17-48B2-BB11-F0F833E89F69}">
      <text>
        <r>
          <rPr>
            <b/>
            <sz val="9"/>
            <color indexed="81"/>
            <rFont val="Tahoma"/>
            <family val="2"/>
          </rPr>
          <t>Rob Squire:</t>
        </r>
        <r>
          <rPr>
            <sz val="9"/>
            <color indexed="81"/>
            <rFont val="Tahoma"/>
            <family val="2"/>
          </rPr>
          <t xml:space="preserve">
Purchase of VIK
Date of Purchase 6/4/2025
Prior to the purchase  
# of shares in account 0
Cost basis per share N/A
This action  
Shares purchased 225
Price per share 47.0334
Principal amount $10,582.52
Fees $0.00
Total paid $10,582.52
After the purchase  
Date of purchase 6/4/2025
New total # of shares in account 225
Cost basis per share  47.0334
</t>
        </r>
      </text>
    </comment>
    <comment ref="CQ112" authorId="0" shapeId="0" xr:uid="{BD0B7880-C516-4C6C-8E25-7B4BE7C3F7A3}">
      <text>
        <r>
          <rPr>
            <b/>
            <sz val="9"/>
            <color indexed="81"/>
            <rFont val="Tahoma"/>
            <family val="2"/>
          </rPr>
          <t>Rob Squire:</t>
        </r>
        <r>
          <rPr>
            <sz val="9"/>
            <color indexed="81"/>
            <rFont val="Tahoma"/>
            <family val="2"/>
          </rPr>
          <t xml:space="preserve">
Purchase of VNQ
Date of Purchase 5/19/2025
Prior to the purchase  
# of shares in account 125
Cost basis per share 89.6486
This action  
Shares purchased 25
Price per share 90.2599
Principal amount $2,256.50
Fees $0.00
Total paid $2,256.50
After the purchase  
Date of purchase 5/19/2025
New total # of shares in account 150
Cost basis per share  89.75
</t>
        </r>
      </text>
    </comment>
    <comment ref="DT112" authorId="0" shapeId="0" xr:uid="{63CD870F-9774-4F7C-A378-B91F03FDEA33}">
      <text>
        <r>
          <rPr>
            <b/>
            <sz val="9"/>
            <color indexed="81"/>
            <rFont val="Tahoma"/>
            <family val="2"/>
          </rPr>
          <t>Rob Squire:</t>
        </r>
        <r>
          <rPr>
            <sz val="9"/>
            <color indexed="81"/>
            <rFont val="Tahoma"/>
            <family val="2"/>
          </rPr>
          <t xml:space="preserve">
Purchase of VCRB
Date of Purchase 6/9/2025
Prior to the purchase  
# of shares in account 0
Cost basis per share N/A
This action  
Shares purchased 100
Price per share 76.2125
Principal amount $7,621.25
Fees $0.00
Total paid $7,621.25
After the purchase  
Date of purchase 6/9/2025
New total # of shares in account 100
Cost basis per share  76.2125
</t>
        </r>
      </text>
    </comment>
    <comment ref="FR112" authorId="0" shapeId="0" xr:uid="{E3D851BF-0B22-4C00-9F25-38F6564AB8CC}">
      <text>
        <r>
          <rPr>
            <b/>
            <sz val="9"/>
            <color indexed="81"/>
            <rFont val="Tahoma"/>
            <family val="2"/>
          </rPr>
          <t>Rob Squire:</t>
        </r>
        <r>
          <rPr>
            <sz val="9"/>
            <color indexed="81"/>
            <rFont val="Tahoma"/>
            <family val="2"/>
          </rPr>
          <t xml:space="preserve">
Sale of GE
Date of Sale 7/31/2025
Prior to the sale  
# of shares in account 50
Cost basis per share 167.6384
This action  
Shares sold 10
Price per share 271.46
Principal amount $2,714.60
Fees $0.00
Total received $2,714.60
Cost basis of shares sold $1,676.38
Profit (loss) $1,038.22 
After the sale  
Date of sale 7/31/2025
Total # of shares remaining 40
Cost basis per share remains at 167.6384
</t>
        </r>
      </text>
    </comment>
    <comment ref="FT112" authorId="0" shapeId="0" xr:uid="{911EE15C-D019-458C-A830-9A7A069DD936}">
      <text>
        <r>
          <rPr>
            <b/>
            <sz val="9"/>
            <color indexed="81"/>
            <rFont val="Tahoma"/>
            <family val="2"/>
          </rPr>
          <t>Rob Squire:</t>
        </r>
        <r>
          <rPr>
            <sz val="9"/>
            <color indexed="81"/>
            <rFont val="Tahoma"/>
            <family val="2"/>
          </rPr>
          <t xml:space="preserve">
Sale of IEFA
Date of Sale 7/14/2025
Prior to the sale  
# of shares in account 400
Cost basis per share 63.68
This action  
Shares sold 100
Price per share 82.9434
Principal amount $8,294.34
Fees $0.00
Total received $8,294.34
Cost basis of shares sold $6,368.00
Profit (loss) $1,926.34 
After the sale  
Date of sale 7/14/2025
Total # of shares remaining 300
Cost basis per share remains at 63.35
</t>
        </r>
      </text>
    </comment>
    <comment ref="FU112" authorId="0" shapeId="0" xr:uid="{FB3C66BA-DCDE-414E-98FB-3D9FAA972FEF}">
      <text>
        <r>
          <rPr>
            <b/>
            <sz val="9"/>
            <color indexed="81"/>
            <rFont val="Tahoma"/>
            <family val="2"/>
          </rPr>
          <t>Rob Squire:</t>
        </r>
        <r>
          <rPr>
            <sz val="9"/>
            <color indexed="81"/>
            <rFont val="Tahoma"/>
            <family val="2"/>
          </rPr>
          <t xml:space="preserve">
Sale of IEMG
Date of Sale 6/30/2025
Prior to the sale  
# of shares in account 250
Cost basis per share 48.5
This action  
Shares sold 100
Price per share 59.96
Principal amount $5,996.00
Fees $0.00
Total received $5,996.00
Cost basis of shares sold $4,850.00
Profit (loss) $1,146.00 
After the sale  
Date of sale 6/30/2025
Total # of shares remaining 150
Cost basis per share remains at 49.7
</t>
        </r>
      </text>
    </comment>
    <comment ref="FW112" authorId="0" shapeId="0" xr:uid="{BCD518C6-0EC7-4B48-863F-250B2399EFB9}">
      <text>
        <r>
          <rPr>
            <b/>
            <sz val="9"/>
            <color indexed="81"/>
            <rFont val="Tahoma"/>
            <family val="2"/>
          </rPr>
          <t>Rob Squire:</t>
        </r>
        <r>
          <rPr>
            <sz val="9"/>
            <color indexed="81"/>
            <rFont val="Tahoma"/>
            <family val="2"/>
          </rPr>
          <t xml:space="preserve">
Sale of IJR
Date of Sale 5/29/2025
Prior to the sale  
# of shares in account 140
Cost basis per share 80.68
This action  
Shares sold 60
Price per share 105.73
Principal amount $6,343.80
Fees $0.00
Total received $6,343.80
Cost basis of shares sold $4,840.80
Profit (loss) $1,503.00 
After the sale  
Date of sale 5/29/2025
Total # of shares remaining 80
Cost basis per share remains at 80.68
</t>
        </r>
      </text>
    </comment>
    <comment ref="GG112" authorId="0" shapeId="0" xr:uid="{4A9AA87F-53A0-4BAC-BC8B-51046D0D5782}">
      <text>
        <r>
          <rPr>
            <b/>
            <sz val="9"/>
            <color indexed="81"/>
            <rFont val="Tahoma"/>
            <family val="2"/>
          </rPr>
          <t>Rob Squire:</t>
        </r>
        <r>
          <rPr>
            <sz val="9"/>
            <color indexed="81"/>
            <rFont val="Tahoma"/>
            <family val="2"/>
          </rPr>
          <t xml:space="preserve">
Purchase of OTIS
Date of Purchase 7/14/2025
Prior to the purchase  
# of shares in account 0
Cost basis per share N/A
This action  
Shares purchased 75
Price per share 99.6785
Principal amount $7,475.89
Fees $0.00
Total paid $7,475.89
After the purchase  
Date of purchase 7/14/2025
New total # of shares in account 75
Cost basis per share  99.6785
</t>
        </r>
      </text>
    </comment>
    <comment ref="GR112" authorId="0" shapeId="0" xr:uid="{FA168F61-7FC9-440B-A98E-8E6A33D80565}">
      <text>
        <r>
          <rPr>
            <b/>
            <sz val="9"/>
            <color indexed="81"/>
            <rFont val="Tahoma"/>
            <family val="2"/>
          </rPr>
          <t>Rob Squire:</t>
        </r>
        <r>
          <rPr>
            <sz val="9"/>
            <color indexed="81"/>
            <rFont val="Tahoma"/>
            <family val="2"/>
          </rPr>
          <t xml:space="preserve">
Sale of UNP
Date of Sale 7/31/2025
Prior to the sale  
# of shares in account 30
Cost basis per share 226.99
This action  
Shares sold 10
Price per share 222.252
Principal amount $2,222.52
Fees $0.00
Total received $2,222.52
Cost basis of shares sold $2,269.90
Profit (loss) ($47.38)
After the sale  
Date of sale 7/31/2025
Total # of shares remaining 20
Cost basis per share remains at 226.99
</t>
        </r>
      </text>
    </comment>
    <comment ref="HJ112" authorId="0" shapeId="0" xr:uid="{0C7B0C3B-E89A-4C67-A5BF-059630D359D4}">
      <text>
        <r>
          <rPr>
            <b/>
            <sz val="9"/>
            <color indexed="81"/>
            <rFont val="Tahoma"/>
            <family val="2"/>
          </rPr>
          <t>Rob Squire:</t>
        </r>
        <r>
          <rPr>
            <sz val="9"/>
            <color indexed="81"/>
            <rFont val="Tahoma"/>
            <family val="2"/>
          </rPr>
          <t xml:space="preserve">
Sale of AMZN
Date of Sale 6/11/2025
Prior to the sale  
# of shares in account 105
Cost basis per share 159.24
This action  
Shares sold 25
Price per share 215.5376
Principal amount $5,388.44
Fees $0.00
Total received $5,388.44
Cost basis of shares sold $3,981.00
Profit (loss) $1,407.44 
After the sale  
Date of sale 6/11/2025
Total # of shares remaining 80
Cost basis per share remains at 167.51
</t>
        </r>
      </text>
    </comment>
    <comment ref="HL112" authorId="0" shapeId="0" xr:uid="{AECAEBB8-2E77-4B85-AC94-C3511BAAB7D4}">
      <text>
        <r>
          <rPr>
            <b/>
            <sz val="9"/>
            <color indexed="81"/>
            <rFont val="Tahoma"/>
            <family val="2"/>
          </rPr>
          <t>Rob Squire:</t>
        </r>
        <r>
          <rPr>
            <sz val="9"/>
            <color indexed="81"/>
            <rFont val="Tahoma"/>
            <family val="2"/>
          </rPr>
          <t xml:space="preserve">
Sale of ASML
Date of Sale 7/9/2025
Prior to the sale  
# of shares in account 15
Cost basis per share 759.36
This action  
Shares sold 4
Price per share 797.2043
Principal amount $3,188.82
Fees $0.00
Total received $3,188.82
Cost basis of shares sold $3,037.44
Profit (loss) $151.38 
After the sale  
Date of sale 7/9/2025
Total # of shares remaining 11
Cost basis per share remains at 730.51
</t>
        </r>
      </text>
    </comment>
    <comment ref="HW112" authorId="0" shapeId="0" xr:uid="{C05C0D8D-C66F-41FB-9C09-4D453275F439}">
      <text>
        <r>
          <rPr>
            <b/>
            <sz val="9"/>
            <color indexed="81"/>
            <rFont val="Tahoma"/>
            <family val="2"/>
          </rPr>
          <t>Rob Squire:</t>
        </r>
        <r>
          <rPr>
            <sz val="9"/>
            <color indexed="81"/>
            <rFont val="Tahoma"/>
            <family val="2"/>
          </rPr>
          <t xml:space="preserve">
Sale of CPB
Date of Sale 5/19/2025
Prior to the sale  
# of shares in account 400
Cost basis per share 41.91
This action  
Shares sold 50
Price per share 35.4052
Principal amount $1,770.26
Fees $0.00
Total received $1,770.26
Cost basis of shares sold $2,095.50
Profit (loss) ($325.24)
After the sale  
Date of sale 5/19/2025
Total # of shares remaining 350
Cost basis per share remains at 41.91
-----------------------------------------------------
Sale of CPB
Date of Sale 6/4/2025
Prior to the sale  
# of shares in account 350
Cost basis per share 40.98
This action  
Shares sold 350
Price per share 34.33
Principal amount $12,015.50
Fees $0.00
Total received $12,015.50
Cost basis of shares sold $14,343.00
Profit (loss) ($2,327.50)
After the sale  
Date of sale 6/4/2025
Total # of shares remaining 0
Cost basis per share remains at 0
</t>
        </r>
      </text>
    </comment>
    <comment ref="HX112" authorId="0" shapeId="0" xr:uid="{A1E070D7-6E96-40A6-BC8B-55069648DB58}">
      <text>
        <r>
          <rPr>
            <b/>
            <sz val="9"/>
            <color indexed="81"/>
            <rFont val="Tahoma"/>
            <family val="2"/>
          </rPr>
          <t>Rob Squire:</t>
        </r>
        <r>
          <rPr>
            <sz val="9"/>
            <color indexed="81"/>
            <rFont val="Tahoma"/>
            <family val="2"/>
          </rPr>
          <t xml:space="preserve">
Purchase of CRH
Date of Purchase 5/19/2025
Prior to the purchase  
# of shares in account 0
Cost basis per share N/A
This action  
Shares purchased 75
Price per share 98.0279
Principal amount $7,352.09
Fees $0.00
Total paid $7,352.09
After the purchase  
Date of purchase 5/19/2025
New total # of shares in account 75
Cost basis per share  98.0279
--------------------------------
Purchase of CRH
Date of Purchase 7/14/2025
Prior to the purchase  
# of shares in account 75
Cost basis per share 98
This action  
Shares purchased 25
Price per share 92.72
Principal amount $2,318.00
Fees $0.00
Total paid $2,318.00
After the purchase  
Date of purchase 7/14/2025
New total # of shares in account 100
Cost basis per share  96.7
</t>
        </r>
      </text>
    </comment>
    <comment ref="HY112" authorId="0" shapeId="0" xr:uid="{3FE8220F-40C7-4D8C-A800-D3B505E66DBF}">
      <text>
        <r>
          <rPr>
            <b/>
            <sz val="9"/>
            <color indexed="81"/>
            <rFont val="Tahoma"/>
            <family val="2"/>
          </rPr>
          <t>Rob Squire:</t>
        </r>
        <r>
          <rPr>
            <sz val="9"/>
            <color indexed="81"/>
            <rFont val="Tahoma"/>
            <family val="2"/>
          </rPr>
          <t xml:space="preserve">
Sale of CPRT
Date of Sale 5/12/2025
Prior to the sale 
# of shares in account 275
Cost basis per share 44.99
This action  
Shares sold 75
Price per share 61.9472
Principal amount $4,646.04
Fees $0.13
Total received $4,645.91
Cost basis of shares sold $3,374.25
Profit (loss) $1,271.66 
After the sale  
Date of sale 5/12/2025
Total # of shares remaining 200
Cost basis per share remains at 44.99
--------------------------------------
Sale of CPRT
Date of Sale 5/19/2025
Prior to the sale  
# of shares in account 200
Cost basis per share 44.99
This action  
Shares sold 25
Price per share 63.3523
Principal amount $1,583.81
Fees $0.07
Total received $1,583.74
Cost basis of shares sold $1,124.75
Profit (loss) $458.99 
After the sale  
Date of sale 5/19/2025
Total # of shares remaining 175
Cost basis per share remains at 44.99
</t>
        </r>
      </text>
    </comment>
    <comment ref="II112" authorId="0" shapeId="0" xr:uid="{89AF9858-EBCE-4440-8B13-085E11D6D2C7}">
      <text>
        <r>
          <rPr>
            <b/>
            <sz val="9"/>
            <color indexed="81"/>
            <rFont val="Tahoma"/>
            <family val="2"/>
          </rPr>
          <t>Rob Squire:</t>
        </r>
        <r>
          <rPr>
            <sz val="9"/>
            <color indexed="81"/>
            <rFont val="Tahoma"/>
            <family val="2"/>
          </rPr>
          <t xml:space="preserve">
Purchase of FLUT
Date of Purchase 5/19/2025
Prior to the purchase  
# of shares in account 0
Cost basis per share N/A
This action  
Shares purchased 30
Price per share 248.9159
Principal amount $7,467.48
Fees $0.00
Total paid $7,467.48
After the purchase  
Date of purchase 5/19/2025
New total # of shares in account 30
Cost basis per share  248.9159
</t>
        </r>
      </text>
    </comment>
    <comment ref="IK112" authorId="0" shapeId="0" xr:uid="{56F2BF30-5541-42BE-95A9-37219B3B92B7}">
      <text>
        <r>
          <rPr>
            <b/>
            <sz val="9"/>
            <color indexed="81"/>
            <rFont val="Tahoma"/>
            <family val="2"/>
          </rPr>
          <t>Rob Squire:</t>
        </r>
        <r>
          <rPr>
            <sz val="9"/>
            <color indexed="81"/>
            <rFont val="Tahoma"/>
            <family val="2"/>
          </rPr>
          <t xml:space="preserve">
Purchase of GE
Date of Purchase 6/4/2025
Prior to the purchase  
# of shares in account 0
Cost basis per share N/A
This action  
Shares purchased 20
Price per share 251.5627
Principal amount $5,031.25
Fees $0.00
Total paid $5,031.25
After the purchase  
Date of purchase 6/4/2025
New total # of shares in account 20
Cost basis per share  251.5627
</t>
        </r>
      </text>
    </comment>
    <comment ref="IM112" authorId="0" shapeId="0" xr:uid="{C63E2C38-D7BE-411D-BAFF-6215F08DBAF4}">
      <text>
        <r>
          <rPr>
            <b/>
            <sz val="9"/>
            <color indexed="81"/>
            <rFont val="Tahoma"/>
            <family val="2"/>
          </rPr>
          <t>Rob Squire:</t>
        </r>
        <r>
          <rPr>
            <sz val="9"/>
            <color indexed="81"/>
            <rFont val="Tahoma"/>
            <family val="2"/>
          </rPr>
          <t xml:space="preserve">
Sale of GOOGL
Date of Sale 5/19/2025
Prior to the sale  
# of shares in account 80
Cost basis per share 89.01
This action  
Shares sold 10
Price per share 165.905
Principal amount $1,659.05
Fees $0.00
Total received $1,659.05
Cost basis of shares sold $890.10
Profit (loss) $768.95 
After the sale  
Date of sale 5/19/2025
Total # of shares remaining 70
Cost basis per share remains at 89.01
</t>
        </r>
      </text>
    </comment>
    <comment ref="IN112" authorId="0" shapeId="0" xr:uid="{3D0F267C-5823-4684-9B14-D726C69D34DE}">
      <text>
        <r>
          <rPr>
            <b/>
            <sz val="9"/>
            <color indexed="81"/>
            <rFont val="Tahoma"/>
            <family val="2"/>
          </rPr>
          <t>Rob Squire:</t>
        </r>
        <r>
          <rPr>
            <sz val="9"/>
            <color indexed="81"/>
            <rFont val="Tahoma"/>
            <family val="2"/>
          </rPr>
          <t xml:space="preserve">
Sale of GS
Date of Sale 5/19/2025
Prior to the sale  
# of shares in account 35
Cost basis per share 495.02
This action  
Shares sold 10
Price per share 611.4377
Principal amount $6,114.38
Fees $0.00
Total received $6,114.38
Cost basis of shares sold $4,950.20
Profit (loss) $1,164.18 
After the sale  
Date of sale 5/19/2025
Total # of shares remaining 25
Cost basis per share remains at 481.56
--------------------------------------------------------
Sale of GS
Date of Sale 6/11/2025
Prior to the sale  
# of shares in account 25
Cost basis per share 482
This action  
Shares sold 7
Price per share 624.51
Principal amount $4,371.57
Fees $0.00
Total received $4,371.57
Cost basis of shares sold $3,370.92
Profit (loss) $1,000.65 
After the sale  
Date of sale 6/11/2025
Total # of shares remaining 18
Cost basis per share remains at 481.56
--------------------------------------------------
Sale of GS
Date of Sale 7/14/2025
Prior to the sale  
# of shares in account 18
Cost basis per share 482
This action  
Shares sold 5
Price per share 705.88
Principal amount $3,529.40
Fees $0.00
Total received $3,529.40
Cost basis of shares sold $2,407.80
Profit (loss) $1,121.60 
After the sale  
Date of sale 7/14/2025
Total # of shares remaining 13
Cost basis per share remains at 481.56
</t>
        </r>
      </text>
    </comment>
    <comment ref="IR112" authorId="0" shapeId="0" xr:uid="{0607482C-820B-4618-93CA-22A11678A31C}">
      <text>
        <r>
          <rPr>
            <b/>
            <sz val="9"/>
            <color indexed="81"/>
            <rFont val="Tahoma"/>
            <family val="2"/>
          </rPr>
          <t>Rob Squire:</t>
        </r>
        <r>
          <rPr>
            <sz val="9"/>
            <color indexed="81"/>
            <rFont val="Tahoma"/>
            <family val="2"/>
          </rPr>
          <t xml:space="preserve">
Purchase of IJH
Date of Purchase 5/19/2025
Prior to the purchase  
# of shares in account 250
Cost basis per share 45.07
This action  
Shares purchased 50
Price per share 61.445
Principal amount $3,072.25
Fees $0.00
Total paid $3,072.25
After the purchase  
Date of purchase 5/19/2025
New total # of shares in account 300
Cost basis per share  59.5
</t>
        </r>
      </text>
    </comment>
    <comment ref="IS112" authorId="0" shapeId="0" xr:uid="{0CD52C04-D8E1-43FB-AF23-429C065E164B}">
      <text>
        <r>
          <rPr>
            <b/>
            <sz val="9"/>
            <color indexed="81"/>
            <rFont val="Tahoma"/>
            <family val="2"/>
          </rPr>
          <t>Rob Squire:</t>
        </r>
        <r>
          <rPr>
            <sz val="9"/>
            <color indexed="81"/>
            <rFont val="Tahoma"/>
            <family val="2"/>
          </rPr>
          <t xml:space="preserve">
Sale of IJR
Date of Sale 5/19/2025
Prior to the sale  
# of shares in account 35
Cost basis per share 106.06
This action  
Shares sold 25
Price per share 107.3159
Principal amount $2,682.90
Fees $0.00
Total received $2,682.90
Cost basis of shares sold $2,651.50
Profit (loss) $31.40 
After the sale  
Date of sale 5/19/2025
Total # of shares remaining 10
Cost basis per share remains at 106.06
</t>
        </r>
      </text>
    </comment>
    <comment ref="JA112" authorId="0" shapeId="0" xr:uid="{C015A626-747A-464E-B7F0-0D2F929F3DE8}">
      <text>
        <r>
          <rPr>
            <b/>
            <sz val="9"/>
            <color indexed="81"/>
            <rFont val="Tahoma"/>
            <family val="2"/>
          </rPr>
          <t>Rob Squire:</t>
        </r>
        <r>
          <rPr>
            <sz val="9"/>
            <color indexed="81"/>
            <rFont val="Tahoma"/>
            <family val="2"/>
          </rPr>
          <t xml:space="preserve">
Sale of LH
Date of Sale 5/19/2025
Prior to the sale  
# of shares in account 70
Cost basis per share 212.8566
This action  
Shares sold 70
Price per share 248.8262
Principal amount $17,417.83
Fees $0.00
Total received $17,417.83
Cost basis of shares sold $14,899.96
Profit (loss) $2,517.87 
After the sale  
Date of sale 5/19/2025
Total # of shares remaining 0
Cost basis per share remains at 0
</t>
        </r>
      </text>
    </comment>
    <comment ref="JD112" authorId="0" shapeId="0" xr:uid="{0ECEC1E5-19B6-47DB-ADD0-683B28B4BEEF}">
      <text>
        <r>
          <rPr>
            <b/>
            <sz val="9"/>
            <color indexed="81"/>
            <rFont val="Tahoma"/>
            <family val="2"/>
          </rPr>
          <t>Rob Squire:</t>
        </r>
        <r>
          <rPr>
            <sz val="9"/>
            <color indexed="81"/>
            <rFont val="Tahoma"/>
            <family val="2"/>
          </rPr>
          <t xml:space="preserve">
Purchase of LNTH
Date of Purchase 5/19/2025
Prior to the purchase  
# of shares in account 0
Cost basis per share N/A
This action  
Shares purchased 95
Price per share 79.2679
Principal amount $7,530.45
Fees $0.00
Total paid $7,530.45
After the purchase  
Date of purchase 5/19/2025
New total # of shares in account 95
Cost basis per share  79.2679
-------------------------------------------
Purchase of LNTH
Date of Purchase 6/11/2025
Prior to the purchase  
# of shares in account 95
Cost basis per share 79
This action  
Shares purchased 35
Price per share 80.375
Principal amount $2,813.13
Fees $0.00
Total paid $2,813.13
After the purchase  
Date of purchase 6/11/2025
New total # of shares in account 130
Cost basis per share  79.57
</t>
        </r>
      </text>
    </comment>
    <comment ref="JE112" authorId="0" shapeId="0" xr:uid="{72438288-790E-4549-B065-92BE92B6A3DB}">
      <text>
        <r>
          <rPr>
            <b/>
            <sz val="9"/>
            <color indexed="81"/>
            <rFont val="Tahoma"/>
            <family val="2"/>
          </rPr>
          <t>Rob Squire:</t>
        </r>
        <r>
          <rPr>
            <sz val="9"/>
            <color indexed="81"/>
            <rFont val="Tahoma"/>
            <family val="2"/>
          </rPr>
          <t xml:space="preserve">
Sale of LULU
Date of Sale 5/19/2025
Prior to the sale  
# of shares in account 65
Cost basis per share 263.87
This action  
Shares sold 20
Price per share 323.9515
Principal amount $6,479.03
Fees $0.00
Total received $6,479.03
Cost basis of shares sold $5,277.30
Profit (loss) $1,201.73 
After the sale  
Date of sale 5/19/2025
Total # of shares remaining 45
Cost basis per share remains at 263.8651
------------------------------------------------------------------
Sale of LULU
Date of Sale 6/4/2025
Prior to the sale  
# of shares in account 45
Cost basis per share 263.87
This action  
Shares sold 45
Price per share 336.7582
Principal amount $15,154.12
Fees $0.00
Total received $15,154.12
Cost basis of shares sold $11,873.93
Profit (loss) $3,280.19 
After the sale  
Date of sale 6/4/2025
Total # of shares remaining 0
Cost basis per share remains at 0
</t>
        </r>
      </text>
    </comment>
    <comment ref="JJ112" authorId="0" shapeId="0" xr:uid="{F6E10EC9-D267-455B-A1BD-F4F029409C6A}">
      <text>
        <r>
          <rPr>
            <b/>
            <sz val="9"/>
            <color indexed="81"/>
            <rFont val="Tahoma"/>
            <family val="2"/>
          </rPr>
          <t>Rob Squire:</t>
        </r>
        <r>
          <rPr>
            <sz val="9"/>
            <color indexed="81"/>
            <rFont val="Tahoma"/>
            <family val="2"/>
          </rPr>
          <t xml:space="preserve">
Purchase of MELI
Date of Purchase 6/11/2025
Prior to the purchase  
# of shares in account 0
Cost basis per share N/A
This action  
Shares purchased 4
Price per share 2389.6968
Principal amount $9,558.79
Fees $0.00
Total paid $9,558.79
After the purchase  
Date of purchase 6/11/2025
New total # of shares in account 4
Cost basis per share  2389.6968
</t>
        </r>
      </text>
    </comment>
    <comment ref="JR112" authorId="0" shapeId="0" xr:uid="{48201E64-8E03-4DEC-9793-0FEDF44A6462}">
      <text>
        <r>
          <rPr>
            <b/>
            <sz val="9"/>
            <color indexed="81"/>
            <rFont val="Tahoma"/>
            <family val="2"/>
          </rPr>
          <t>Rob Squire:</t>
        </r>
        <r>
          <rPr>
            <sz val="9"/>
            <color indexed="81"/>
            <rFont val="Tahoma"/>
            <family val="2"/>
          </rPr>
          <t xml:space="preserve">
Purchase of PG
Date of Purchase 6/11/2025
Prior to the purchase  
# of shares in account 60
Cost basis per share 166.18
This action  
Shares purchased 20
Price per share 161.82
Principal amount $3,236.40
Fees $0.00
Total paid $3,236.40
After the purchase  
Date of purchase 6/11/2025
New total # of shares in account 80
Cost basis per share  165.09
</t>
        </r>
      </text>
    </comment>
    <comment ref="JW112" authorId="0" shapeId="0" xr:uid="{81F39CC1-8D8C-41F7-A16F-0EF96F055D61}">
      <text>
        <r>
          <rPr>
            <b/>
            <sz val="9"/>
            <color indexed="81"/>
            <rFont val="Tahoma"/>
            <family val="2"/>
          </rPr>
          <t>Rob Squire:</t>
        </r>
        <r>
          <rPr>
            <sz val="9"/>
            <color indexed="81"/>
            <rFont val="Tahoma"/>
            <family val="2"/>
          </rPr>
          <t xml:space="preserve">
Sale of UBER
Date of Sale 5/19/2025
Prior to the sale  
# of shares in account 300
Cost basis per share 68.79
This action  
Shares sold 50
Price per share 91.6978
Principal amount $4,584.89
Fees $0.00
Total received $4,584.89
Cost basis of shares sold $3,439.50
Profit (loss) $1,145.39 
After the sale  
Date of sale 5/19/2025
Total # of shares remaining 250
Cost basis per share remains at 68.24
</t>
        </r>
      </text>
    </comment>
    <comment ref="JX112" authorId="0" shapeId="0" xr:uid="{E77C1A18-FCC5-4FE5-98D6-C850C733E2E5}">
      <text>
        <r>
          <rPr>
            <b/>
            <sz val="9"/>
            <color indexed="81"/>
            <rFont val="Tahoma"/>
            <family val="2"/>
          </rPr>
          <t>Rob Squire:</t>
        </r>
        <r>
          <rPr>
            <sz val="9"/>
            <color indexed="81"/>
            <rFont val="Tahoma"/>
            <family val="2"/>
          </rPr>
          <t xml:space="preserve">
Purchase of UNH
Date of Purchase 5/19/2025
Prior to the purchase  
# of shares in account 40
Cost basis per share 378.08
This action  
Shares purchased 20
Price per share 308.0378
Principal amount $6,160.76
Fees $0.00
Total paid $6,160.76
After the purchase  
Date of purchase 5/19/2025
New total # of shares in account 60
Cost basis per share  350.7
</t>
        </r>
      </text>
    </comment>
    <comment ref="JY112" authorId="0" shapeId="0" xr:uid="{518C1C2C-425A-4EF0-8AB2-F2C5AEF89A22}">
      <text>
        <r>
          <rPr>
            <b/>
            <sz val="9"/>
            <color indexed="81"/>
            <rFont val="Tahoma"/>
            <family val="2"/>
          </rPr>
          <t>Rob Squire:</t>
        </r>
        <r>
          <rPr>
            <sz val="9"/>
            <color indexed="81"/>
            <rFont val="Tahoma"/>
            <family val="2"/>
          </rPr>
          <t xml:space="preserve">
Purchase of UNP
Date of Purchase 6/4/2025
Prior to the purchase  
# of shares in account 0
Cost basis per share N/A
This action  
Shares purchased 25
Price per share 221.6595
Principal amount $5,541.49
Fees $0.00
Total paid $5,541.49
After the purchase  
Date of purchase 6/4/2025
New total # of shares in account 25
Cost basis per share  221.6595
</t>
        </r>
      </text>
    </comment>
    <comment ref="KC112" authorId="0" shapeId="0" xr:uid="{116D21CD-107C-49A1-B136-6085B1723170}">
      <text>
        <r>
          <rPr>
            <b/>
            <sz val="9"/>
            <color indexed="81"/>
            <rFont val="Tahoma"/>
            <family val="2"/>
          </rPr>
          <t>Rob Squire:</t>
        </r>
        <r>
          <rPr>
            <sz val="9"/>
            <color indexed="81"/>
            <rFont val="Tahoma"/>
            <family val="2"/>
          </rPr>
          <t xml:space="preserve">
Sale of V
Date of Sale 5/19/2025
Prior to the sale  
# of shares in account 75
Cost basis per share 215.29
This action  
Shares sold 15
Price per share 367.7301
Principal amount $5,515.95
Fees $0.00
Total received $5,515.95
Cost basis of shares sold $3,229.35
Profit (loss) $2,286.60 
After the sale  
Date of sale 5/19/2025
Total # of shares remaining 60
Cost basis per share remains at 215.29
-------------------------------------------------
Sale of V
Date of Sale 6/11/2025
Prior to the sale  
# of shares in account 60
Cost basis per share 215
This action  
Shares sold 10
Price per share 372.3327
Principal amount $3,723.33
Fees $0.00
Total received $3,723.33
Cost basis of shares sold $2,152.90
Profit (loss) $1,570.43 
After the sale  
Date of sale 6/11/2025
Total # of shares remaining 50
Cost basis per share remains at 215.29
</t>
        </r>
      </text>
    </comment>
    <comment ref="KI112" authorId="0" shapeId="0" xr:uid="{D6ECAB4B-8508-4879-B51A-C71165B899AB}">
      <text>
        <r>
          <rPr>
            <b/>
            <sz val="9"/>
            <color indexed="81"/>
            <rFont val="Tahoma"/>
            <family val="2"/>
          </rPr>
          <t>Rob Squire:</t>
        </r>
        <r>
          <rPr>
            <sz val="9"/>
            <color indexed="81"/>
            <rFont val="Tahoma"/>
            <family val="2"/>
          </rPr>
          <t xml:space="preserve">
Purchase of VIK
Date of Purchase 6/4/2025
Prior to the purchase  
# of shares in account 0
Cost basis per share N/A
This action  
Shares purchased 225
Price per share 47.0334
Principal amount $10,582.52
Fees $0.00
Total paid $10,582.52
After the purchase  
Date of purchase 6/4/2025
New total # of shares in account 225
Cost basis per share  47.0334
</t>
        </r>
      </text>
    </comment>
    <comment ref="KL112" authorId="0" shapeId="0" xr:uid="{FF65A373-DA3F-4A4C-8B74-DC60B7D97CD7}">
      <text>
        <r>
          <rPr>
            <b/>
            <sz val="9"/>
            <color indexed="81"/>
            <rFont val="Tahoma"/>
            <family val="2"/>
          </rPr>
          <t>Rob Squire:</t>
        </r>
        <r>
          <rPr>
            <sz val="9"/>
            <color indexed="81"/>
            <rFont val="Tahoma"/>
            <family val="2"/>
          </rPr>
          <t xml:space="preserve">
Purchase of VNQ
Date of Purchase 5/19/2025
Prior to the purchase  
# of shares in account 125
Cost basis per share 89.6486
This action  
Shares purchased 25
Price per share 90.2599
Principal amount $2,256.50
Fees $0.00
Total paid $2,256.50
After the purchase  
Date of purchase 5/19/2025
New total # of shares in account 150
Cost basis per share  89.75
</t>
        </r>
      </text>
    </comment>
    <comment ref="LN112" authorId="0" shapeId="0" xr:uid="{A951B24A-AF50-4102-8BFF-4470D362983C}">
      <text>
        <r>
          <rPr>
            <b/>
            <sz val="9"/>
            <color indexed="81"/>
            <rFont val="Tahoma"/>
            <family val="2"/>
          </rPr>
          <t>Rob Squire:</t>
        </r>
        <r>
          <rPr>
            <sz val="9"/>
            <color indexed="81"/>
            <rFont val="Tahoma"/>
            <family val="2"/>
          </rPr>
          <t xml:space="preserve">
Sale of CPB
Date of Sale 6/5/2025
Prior to the sale  
# of shares in account 130
Cost basis per share 44.0867
This action  
Shares sold 130
Price per share 34.0344
Principal amount $4,424.47
Fees $0.00
Total received $4,424.47
Cost basis of shares sold $5,731.27
Profit (loss) ($1,306.80)
After the sale  
Date of sale 6/5/2025
Total # of shares remaining 0
Cost basis per share remains at 0
</t>
        </r>
      </text>
    </comment>
    <comment ref="MF112" authorId="0" shapeId="0" xr:uid="{D8EEEA01-DE98-4E2B-897C-52D3240A27C7}">
      <text>
        <r>
          <rPr>
            <b/>
            <sz val="9"/>
            <color indexed="81"/>
            <rFont val="Tahoma"/>
            <family val="2"/>
          </rPr>
          <t>Rob Squire:</t>
        </r>
        <r>
          <rPr>
            <sz val="9"/>
            <color indexed="81"/>
            <rFont val="Tahoma"/>
            <family val="2"/>
          </rPr>
          <t xml:space="preserve">
Sale of LH
Date of Sale 5/19/2025
Prior to the sale  
# of shares in account 30
Cost basis per share 218.6613
This action  
Shares sold 30
Price per share 248.8262
Principal amount $7,464.79
Fees $0.00
Total received $7,464.79
Cost basis of shares sold $6,559.84
Profit (loss) $904.95 
After the sale  
Date of sale 5/19/2025
Total # of shares remaining 0
Cost basis per share remains at 0
</t>
        </r>
      </text>
    </comment>
    <comment ref="MM112" authorId="0" shapeId="0" xr:uid="{41874053-5535-45AA-AE3A-58FE1BD22A83}">
      <text>
        <r>
          <rPr>
            <b/>
            <sz val="9"/>
            <color indexed="81"/>
            <rFont val="Tahoma"/>
            <family val="2"/>
          </rPr>
          <t>Rob Squire:</t>
        </r>
        <r>
          <rPr>
            <sz val="9"/>
            <color indexed="81"/>
            <rFont val="Tahoma"/>
            <family val="2"/>
          </rPr>
          <t xml:space="preserve">
Sale of PEG
Date of Sale 5/19/2025
Prior to the sale  
# of shares in account 80
Cost basis per share 61.55
This action  
Shares sold 15
Price per share 79.33
Principal amount $1,189.95
Fees $0.00
Total received $1,189.95
Cost basis of shares sold $923.25
Profit (loss) $266.70 
After the sale  
Date of sale 5/19/2025
Total # of shares remaining 65
Cost basis per share remains at 61.25
</t>
        </r>
      </text>
    </comment>
    <comment ref="MQ112" authorId="0" shapeId="0" xr:uid="{46D4C93E-750B-4B93-B0D7-37DCA7FE1D85}">
      <text>
        <r>
          <rPr>
            <b/>
            <sz val="9"/>
            <color indexed="81"/>
            <rFont val="Tahoma"/>
            <family val="2"/>
          </rPr>
          <t>Rob Squire:</t>
        </r>
        <r>
          <rPr>
            <sz val="9"/>
            <color indexed="81"/>
            <rFont val="Tahoma"/>
            <family val="2"/>
          </rPr>
          <t xml:space="preserve">
Sale of PPL
Date of Sale 5/19/2025
Prior to the sale  
# of shares in account 225
Cost basis per share 28.5
This action  
Shares sold 45
Price per share 34.8854
Principal amount $1,569.84
Fees $0.00
Total received $1,569.84
Cost basis of shares sold $1,282.50
Profit (loss) $287.34 
After the sale  
Date of sale 5/19/2025
Total # of shares remaining 180
Cost basis per share remains at 28.5
</t>
        </r>
      </text>
    </comment>
    <comment ref="NA112" authorId="0" shapeId="0" xr:uid="{129762A4-C0B5-4EB2-A1B6-FD2CEAE18BF0}">
      <text>
        <r>
          <rPr>
            <b/>
            <sz val="9"/>
            <color indexed="81"/>
            <rFont val="Tahoma"/>
            <family val="2"/>
          </rPr>
          <t>Rob Squire:</t>
        </r>
        <r>
          <rPr>
            <sz val="9"/>
            <color indexed="81"/>
            <rFont val="Tahoma"/>
            <family val="2"/>
          </rPr>
          <t xml:space="preserve">
Purchase of UNH
Date of Purchase 5/19/2025
Prior to the purchase  
# of shares in account 0
Cost basis per share N/A
This action  
Shares purchased 30
Price per share 308.0378
Principal amount $9,241.13
Fees $0.00
Total paid $9,241.13
After the purchase  
Date of purchase 5/19/2025
New total # of shares in account 30
Cost basis per share  308.0378
</t>
        </r>
      </text>
    </comment>
    <comment ref="NE112" authorId="0" shapeId="0" xr:uid="{53BE182B-3024-4A14-8806-45755593D1D8}">
      <text>
        <r>
          <rPr>
            <b/>
            <sz val="9"/>
            <color indexed="81"/>
            <rFont val="Tahoma"/>
            <family val="2"/>
          </rPr>
          <t>Rob Squire:</t>
        </r>
        <r>
          <rPr>
            <sz val="9"/>
            <color indexed="81"/>
            <rFont val="Tahoma"/>
            <family val="2"/>
          </rPr>
          <t xml:space="preserve">
Purchase of VCRB
Date of Purchase 6/9/2025
Prior to the purchase  
# of shares in account 0
Cost basis per share N/A
This action  
Shares purchased 100
Price per share 76.2125
Principal amount $7,621.25
Fees $0.00
Total paid $7,621.25
After the purchase  
Date of purchase 6/9/2025
New total # of shares in account 100
Cost basis per share  76.2125
</t>
        </r>
      </text>
    </comment>
    <comment ref="CH113" authorId="0" shapeId="0" xr:uid="{D618A80F-048D-4C1E-89CC-75A504FBE5A4}">
      <text>
        <r>
          <rPr>
            <b/>
            <sz val="9"/>
            <color indexed="81"/>
            <rFont val="Tahoma"/>
            <family val="2"/>
          </rPr>
          <t>Rob Squire:</t>
        </r>
        <r>
          <rPr>
            <sz val="9"/>
            <color indexed="81"/>
            <rFont val="Tahoma"/>
            <family val="2"/>
          </rPr>
          <t xml:space="preserve">
There was some error here, because this shows that there should have  been 60 shares total, but on 8/26/2025, 90 shares were sold</t>
        </r>
      </text>
    </comment>
    <comment ref="GR113" authorId="0" shapeId="0" xr:uid="{5708EA7A-601F-48EA-8B68-1AD96C52C277}">
      <text>
        <r>
          <rPr>
            <b/>
            <sz val="9"/>
            <color indexed="81"/>
            <rFont val="Tahoma"/>
            <family val="2"/>
          </rPr>
          <t>Rob Squire:</t>
        </r>
        <r>
          <rPr>
            <sz val="9"/>
            <color indexed="81"/>
            <rFont val="Tahoma"/>
            <family val="2"/>
          </rPr>
          <t xml:space="preserve">
Sale of UNP
Date of Sale 8/18/2025
Prior to the sale  
# of shares in account 20
Cost basis per share 226.99
This action  
Shares sold 20
Price per share 220.04
Principal amount $4,400.80
Fees $0.00
Total received $4,400.80
Cost basis of shares sold $4,539.80
Profit (loss) ($139.00)
After the sale  
Date of sale 8/18/2025
Total # of shares remaining 0
Cost basis per share remains at 0
</t>
        </r>
      </text>
    </comment>
    <comment ref="HL113" authorId="0" shapeId="0" xr:uid="{DCEDCEC8-32A7-4674-9AA9-32FED850A30D}">
      <text>
        <r>
          <rPr>
            <b/>
            <sz val="9"/>
            <color indexed="81"/>
            <rFont val="Tahoma"/>
            <family val="2"/>
          </rPr>
          <t>Rob Squire:</t>
        </r>
        <r>
          <rPr>
            <sz val="9"/>
            <color indexed="81"/>
            <rFont val="Tahoma"/>
            <family val="2"/>
          </rPr>
          <t xml:space="preserve">
Sale of ASML
Date of Sale 8/18/2025
Prior to the sale  
# of shares in account 11
Cost basis per share 731
This action  
Shares sold 11
Price per share 746.273
Principal amount $8,209.00
Fees $0.00
Total received $8,209.00
Cost basis of shares sold $8,035.61
Profit (loss) $173.39 
After the sale  
Date of sale 8/18/2025
Total # of shares remaining 0
Cost basis per share remains at 0
</t>
        </r>
      </text>
    </comment>
    <comment ref="HY113" authorId="0" shapeId="0" xr:uid="{704B7E79-7062-45D9-8941-FF1B861AB18D}">
      <text>
        <r>
          <rPr>
            <b/>
            <sz val="9"/>
            <color indexed="81"/>
            <rFont val="Tahoma"/>
            <family val="2"/>
          </rPr>
          <t>Rob Squire:</t>
        </r>
        <r>
          <rPr>
            <sz val="9"/>
            <color indexed="81"/>
            <rFont val="Tahoma"/>
            <family val="2"/>
          </rPr>
          <t xml:space="preserve">
Sale of CPRT
Date of Sale 8/19/2025
Prior to the sale  
# of shares in account 175
Cost basis per share 44.99
This action  
Shares sold 175
Price per share 47.955
Principal amount $8,392.13
Fees $0.00
Total received $8,392.13
Cost basis of shares sold $7,873.25
Profit (loss) $518.88 
After the sale  
Date of sale 8/19/2025
Total # of shares remaining 0
Cost basis per share remains at 0
</t>
        </r>
      </text>
    </comment>
    <comment ref="IG113" authorId="0" shapeId="0" xr:uid="{CB968F1A-FE15-46B1-9D16-41512C9FBAF2}">
      <text>
        <r>
          <rPr>
            <b/>
            <sz val="9"/>
            <color indexed="81"/>
            <rFont val="Tahoma"/>
            <family val="2"/>
          </rPr>
          <t>Rob Squire:</t>
        </r>
        <r>
          <rPr>
            <sz val="9"/>
            <color indexed="81"/>
            <rFont val="Tahoma"/>
            <family val="2"/>
          </rPr>
          <t xml:space="preserve">
Sale of EOG
Date of Sale 8/18/2025
Prior to the sale  
# of shares in account 150
Cost basis per share 129.5153
This action  
Shares sold 150
Price per share 117.5208
Principal amount $17,628.12
Fees $0.00
Total received $17,628.12
Cost basis of shares sold $19,427.30
Profit (loss) ($1,799.18)
After the sale  
Date of sale 8/18/2025
Total # of shares remaining 0
Cost basis per share remains at 0
</t>
        </r>
      </text>
    </comment>
    <comment ref="IL113" authorId="0" shapeId="0" xr:uid="{D0CCBBE1-557B-472B-BE3B-8E0EAA0BE8CC}">
      <text>
        <r>
          <rPr>
            <b/>
            <sz val="9"/>
            <color indexed="81"/>
            <rFont val="Tahoma"/>
            <family val="2"/>
          </rPr>
          <t>Rob Squire:</t>
        </r>
        <r>
          <rPr>
            <sz val="9"/>
            <color indexed="81"/>
            <rFont val="Tahoma"/>
            <family val="2"/>
          </rPr>
          <t xml:space="preserve">
Sale of GEHC
Date of Sale 8/18/2025
Prior to the sale  
# of shares in account 200
Cost basis per share 74.97
This action  
Shares sold 200
Price per share 73.2308
Principal amount $14,646.16
Fees $0.00
Total received $14,646.16
Cost basis of shares sold $14,994.00
Profit (loss) ($347.84)
After the sale  
Date of sale 8/18/2025
Total # of shares remaining 0
Cost basis per share remains at 0
</t>
        </r>
      </text>
    </comment>
    <comment ref="IZ113" authorId="0" shapeId="0" xr:uid="{97030353-0CC7-4F7D-8972-496E50C1D31D}">
      <text>
        <r>
          <rPr>
            <b/>
            <sz val="9"/>
            <color indexed="81"/>
            <rFont val="Tahoma"/>
            <family val="2"/>
          </rPr>
          <t>Rob Squire:</t>
        </r>
        <r>
          <rPr>
            <sz val="9"/>
            <color indexed="81"/>
            <rFont val="Tahoma"/>
            <family val="2"/>
          </rPr>
          <t xml:space="preserve">
Sale of KO
Date of Sale 8/19/2025
Prior to the sale  
# of shares in account 250
Cost basis per share 49.36
This action  
Shares sold 250
Price per share 69.565
Principal amount $17,391.25
Fees $0.00
Total received $17,391.25
Cost basis of shares sold $12,340.00
Profit (loss) $5,051.25 
After the sale  
Date of sale 8/19/2025
Total # of shares remaining 0
Cost basis per share remains at 0
</t>
        </r>
      </text>
    </comment>
    <comment ref="JD113" authorId="0" shapeId="0" xr:uid="{B7CD7477-57B7-4087-8561-56F1379A9772}">
      <text>
        <r>
          <rPr>
            <b/>
            <sz val="9"/>
            <color indexed="81"/>
            <rFont val="Tahoma"/>
            <family val="2"/>
          </rPr>
          <t>Rob Squire:</t>
        </r>
        <r>
          <rPr>
            <sz val="9"/>
            <color indexed="81"/>
            <rFont val="Tahoma"/>
            <family val="2"/>
          </rPr>
          <t xml:space="preserve">
Sale of LNTH
Date of Sale 8/6/2025
Prior to the sale 6/11/25
# of shares in account 130
Cost basis per share 80
This action  
Shares sold 130
Price per share 50.7478
Principal amount $6,597.21
Fees $0.00
Total received $6,597.21
Cost basis of shares sold $10,344.10
Profit (loss) ($3,746.89)
After the sale  
Date of sale 8/6/2025
Total # of shares remaining 0
Cost basis per share remains at 0
</t>
        </r>
      </text>
    </comment>
    <comment ref="JG113" authorId="0" shapeId="0" xr:uid="{D9553DA7-7DED-4AA3-AB75-5AEEC54737AE}">
      <text>
        <r>
          <rPr>
            <b/>
            <sz val="9"/>
            <color indexed="81"/>
            <rFont val="Tahoma"/>
            <family val="2"/>
          </rPr>
          <t>Rob Squire:</t>
        </r>
        <r>
          <rPr>
            <sz val="9"/>
            <color indexed="81"/>
            <rFont val="Tahoma"/>
            <family val="2"/>
          </rPr>
          <t xml:space="preserve">
Sale of MAT
Date of Sale 8/19/2025
Prior to the sale  
# of shares in account 475
Cost basis per share 20.0004
This action  
Shares sold 475
Price per share 18.08
Principal amount $8,588.00
Fees $0.00
Total received $8,588.00
Cost basis of shares sold $9,500.19
Profit (loss) ($912.19)
After the sale  
Date of sale 8/19/2025
Total # of shares remaining 0
Cost basis per share remains at 0
</t>
        </r>
      </text>
    </comment>
    <comment ref="JJ113" authorId="0" shapeId="0" xr:uid="{5D8F04F7-60D0-4572-829A-60A1A797BFC7}">
      <text>
        <r>
          <rPr>
            <b/>
            <sz val="9"/>
            <color indexed="81"/>
            <rFont val="Tahoma"/>
            <family val="2"/>
          </rPr>
          <t>Rob Squire:</t>
        </r>
        <r>
          <rPr>
            <sz val="9"/>
            <color indexed="81"/>
            <rFont val="Tahoma"/>
            <family val="2"/>
          </rPr>
          <t xml:space="preserve">
Sale of MELI
Date of Sale 8/19/2025
Prior to the sale  
# of shares in account 4
Cost basis per share 2389.6968
This action  
Shares sold 4
Price per share 2357.595
Principal amount $9,430.38
Fees $0.00
Total received $9,430.38
Cost basis of shares sold $9,558.79
Profit (loss) ($128.41)
After the sale  
Date of sale 8/19/2025
Total # of shares remaining 0
Cost basis per share remains at 0
</t>
        </r>
      </text>
    </comment>
    <comment ref="JR113" authorId="0" shapeId="0" xr:uid="{6F9D7306-8357-4CE8-AC98-C19B31B31053}">
      <text>
        <r>
          <rPr>
            <b/>
            <sz val="9"/>
            <color indexed="81"/>
            <rFont val="Tahoma"/>
            <family val="2"/>
          </rPr>
          <t>Rob Squire:</t>
        </r>
        <r>
          <rPr>
            <sz val="9"/>
            <color indexed="81"/>
            <rFont val="Tahoma"/>
            <family val="2"/>
          </rPr>
          <t xml:space="preserve">
Sale of PG
Date of Sale 8/19/2025
Prior to the sale  
# of shares in account 80
Cost basis per share 165.09
This action  
Shares sold 80
Price per share 157.01
Principal amount $12,560.80
Fees $0.00
Total received $12,560.80
Cost basis of shares sold $13,207.20
Profit (loss) ($646.40)
After the sale  
Date of sale 8/19/2025
Total # of shares remaining 0
Cost basis per share remains at 0
</t>
        </r>
      </text>
    </comment>
    <comment ref="JY113" authorId="0" shapeId="0" xr:uid="{574D76C2-6D54-4724-AFA5-0F5ABE61E9B7}">
      <text>
        <r>
          <rPr>
            <b/>
            <sz val="9"/>
            <color indexed="81"/>
            <rFont val="Tahoma"/>
            <family val="2"/>
          </rPr>
          <t>Rob Squire:</t>
        </r>
        <r>
          <rPr>
            <sz val="9"/>
            <color indexed="81"/>
            <rFont val="Tahoma"/>
            <family val="2"/>
          </rPr>
          <t xml:space="preserve">
Sale of UNP
Date of Sale 8/18/2025
Prior to the sale  
# of shares in account 25
Cost basis per share 221.6595
This action  
Shares sold 25
Price per share 220.27
Principal amount $5,506.75
Fees $0.00
Total received $5,506.75
Cost basis of shares sold $5,541.49
Profit (loss) ($34.74)
After the sale  
Date of sale 8/18/2025
Total # of shares remaining 0
Cost basis per share remains at 0
</t>
        </r>
      </text>
    </comment>
    <comment ref="KC113" authorId="0" shapeId="0" xr:uid="{0298EB5D-0700-4599-9C3B-11EF3504923B}">
      <text>
        <r>
          <rPr>
            <b/>
            <sz val="9"/>
            <color indexed="81"/>
            <rFont val="Tahoma"/>
            <family val="2"/>
          </rPr>
          <t>Rob Squire:</t>
        </r>
        <r>
          <rPr>
            <sz val="9"/>
            <color indexed="81"/>
            <rFont val="Tahoma"/>
            <family val="2"/>
          </rPr>
          <t xml:space="preserve">
Sale of V
Date of Sale 8/19/2025
Prior to the sale  
# of shares in account 50
Cost basis per share 215.29
This action  
Shares sold 50
Price per share 345.2601
Principal amount $17,263.01
Fees $0.07
Total received $17,262.94
Cost basis of shares sold $10,764.50
Profit (loss) $6,498.44 
After the sale  
Date of sale 8/19/2025
Total # of shares remaining 0
Cost basis per share remains at 0
</t>
        </r>
      </text>
    </comment>
    <comment ref="KU113" authorId="0" shapeId="0" xr:uid="{2080E3C6-6F76-494E-A475-953A85F68492}">
      <text>
        <r>
          <rPr>
            <b/>
            <sz val="9"/>
            <color indexed="81"/>
            <rFont val="Tahoma"/>
            <family val="2"/>
          </rPr>
          <t>Rob Squire:</t>
        </r>
        <r>
          <rPr>
            <sz val="9"/>
            <color indexed="81"/>
            <rFont val="Tahoma"/>
            <family val="2"/>
          </rPr>
          <t xml:space="preserve">
Sale of ZTS
Date of Sale 8/19/2025
Prior to the sale  
# of shares in account 50
Cost basis per share 163.6652
This action  
Shares sold 50
Price per share 153.68
Principal amount $7,684.00
Fees $0.07
Total received $7,683.93
Cost basis of shares sold $8,183.26
Profit (loss) ($499.33)
After the sale  
Date of sale 8/19/2025
Total # of shares remaining 0
Cost basis per share remains at 0
</t>
        </r>
      </text>
    </comment>
    <comment ref="N114" authorId="0" shapeId="0" xr:uid="{A3CA3C93-4671-4814-A97B-983D5FC24862}">
      <text>
        <r>
          <rPr>
            <b/>
            <sz val="9"/>
            <color indexed="81"/>
            <rFont val="Tahoma"/>
            <family val="2"/>
          </rPr>
          <t>Rob Squire:</t>
        </r>
        <r>
          <rPr>
            <sz val="9"/>
            <color indexed="81"/>
            <rFont val="Tahoma"/>
            <family val="2"/>
          </rPr>
          <t xml:space="preserve">
Sale of Otis
Date of Sale 8/26/2025
Prior to the sale  
# of shares in account 75
Cost basis per share 99.6785
This action  
Shares sold 75
Price per share 87.3965
Principal amount $6,554.74
Fees $0.07
Total received $6,554.67
Cost basis of shares sold $7,475.89
Profit (loss) ($921.22)
After the sale  
Date of sale 8/26/2025
Total # of shares remaining 0
Cost basis per share remains at 0
</t>
        </r>
      </text>
    </comment>
    <comment ref="AO114" authorId="0" shapeId="0" xr:uid="{A3E89EFB-D211-48A4-B654-335650DB911C}">
      <text>
        <r>
          <rPr>
            <b/>
            <sz val="9"/>
            <color indexed="81"/>
            <rFont val="Tahoma"/>
            <family val="2"/>
          </rPr>
          <t>Rob Squire:</t>
        </r>
        <r>
          <rPr>
            <sz val="9"/>
            <color indexed="81"/>
            <rFont val="Tahoma"/>
            <family val="2"/>
          </rPr>
          <t xml:space="preserve">
Sale of BX
Date of Sale 8/26/2025
Prior to the sale  
# of shares in account 60
Cost basis per share 122.9304
This action  
Shares sold 60
Price per share 170.377
Principal amount $10,222.62
Fees $0.00
Total received $10,222.62
Cost basis of shares sold $7,375.82
Profit (loss) $2,846.80 
After the sale  
Date of sale 8/26/2025
Total # of shares remaining 0
Cost basis per share remains at 0
</t>
        </r>
      </text>
    </comment>
    <comment ref="BB114" authorId="0" shapeId="0" xr:uid="{11E53A2E-C0EF-4131-9668-98FD0FD9931A}">
      <text>
        <r>
          <rPr>
            <b/>
            <sz val="9"/>
            <color indexed="81"/>
            <rFont val="Tahoma"/>
            <family val="2"/>
          </rPr>
          <t>Rob Squire:</t>
        </r>
        <r>
          <rPr>
            <sz val="9"/>
            <color indexed="81"/>
            <rFont val="Tahoma"/>
            <family val="2"/>
          </rPr>
          <t xml:space="preserve">
Purchase of FZILX
Date of Purchase 8/22/2025
Prior to the purchase  
# of shares in account 0
Cost basis per share N/A
This action  
Shares purchased 7,790
Price per share 14.12
Principal amount $110,000.00
Fees $0.00
Total paid $110,000.00
After the purchase  
Date of purchase 8/22/2025
New total # of shares in account 7,790
</t>
        </r>
      </text>
    </comment>
    <comment ref="BC114" authorId="0" shapeId="0" xr:uid="{9CADCE79-A502-4532-AB9F-BF610BB550CC}">
      <text>
        <r>
          <rPr>
            <b/>
            <sz val="9"/>
            <color indexed="81"/>
            <rFont val="Tahoma"/>
            <family val="2"/>
          </rPr>
          <t>Rob Squire:</t>
        </r>
        <r>
          <rPr>
            <sz val="9"/>
            <color indexed="81"/>
            <rFont val="Tahoma"/>
            <family val="2"/>
          </rPr>
          <t xml:space="preserve">
Purchase of FZROX
Date of Purchase 8/22/2025
Prior to the purchase  
# of shares in account 0
Cost basis per share N/A
This action  
Shares purchased 11,984
Price per share 22.5300005
Principal amount $270,000.00
Fees $0.00
Total paid $270,000.00
After the purchase  
Date of purchase 8/22/2025
New total # of shares in account 11,984
Cost basis per share  22.5300005
</t>
        </r>
      </text>
    </comment>
    <comment ref="BR114" authorId="0" shapeId="0" xr:uid="{F3F8595B-C4B4-43D6-825C-C0D618FF8E54}">
      <text>
        <r>
          <rPr>
            <b/>
            <sz val="9"/>
            <color indexed="81"/>
            <rFont val="Tahoma"/>
            <family val="2"/>
          </rPr>
          <t>Rob Squire:</t>
        </r>
        <r>
          <rPr>
            <sz val="9"/>
            <color indexed="81"/>
            <rFont val="Tahoma"/>
            <family val="2"/>
          </rPr>
          <t xml:space="preserve">
Sale of KO
Date of Sale 8/26/2025
Prior to the sale  
# of shares in account 155
Cost basis per share 55.12
This action  
Shares sold 155
Price per share 68.865
Principal amount $10,674.08
Fees $0.00
Total received $10,674.08
Cost basis of shares sold $8,543.60
Profit (loss) $2,130.48 
After the sale  
Date of sale 8/26/2025
Total # of shares remaining 0
Cost basis per share remains at 0
</t>
        </r>
      </text>
    </comment>
    <comment ref="BX114" authorId="0" shapeId="0" xr:uid="{55099F10-E0CB-454C-8EE3-10B88DCCEE08}">
      <text>
        <r>
          <rPr>
            <b/>
            <sz val="9"/>
            <color indexed="81"/>
            <rFont val="Tahoma"/>
            <family val="2"/>
          </rPr>
          <t>Rob Squire:</t>
        </r>
        <r>
          <rPr>
            <sz val="9"/>
            <color indexed="81"/>
            <rFont val="Tahoma"/>
            <family val="2"/>
          </rPr>
          <t xml:space="preserve">
Sale of PEG
Date of Sale 8/26/2025
Prior to the sale  
# of shares in account 65
Cost basis per share 61.25
This action  
Shares sold 65
Price per share 83.25
Principal amount $5,411.25
Fees $0.00
Total received $5,411.25
Cost basis of shares sold $3,981.25
Profit (loss) $1,430.00 
After the sale  
Date of sale 8/26/2025
Total # of shares remaining 0
Cost basis per share remains at 0
</t>
        </r>
      </text>
    </comment>
    <comment ref="BY114" authorId="0" shapeId="0" xr:uid="{CF73C7BE-687F-4B76-AB96-9E9C1BCB5D18}">
      <text>
        <r>
          <rPr>
            <b/>
            <sz val="9"/>
            <color indexed="81"/>
            <rFont val="Tahoma"/>
            <family val="2"/>
          </rPr>
          <t>Rob Squire:</t>
        </r>
        <r>
          <rPr>
            <sz val="9"/>
            <color indexed="81"/>
            <rFont val="Tahoma"/>
            <family val="2"/>
          </rPr>
          <t xml:space="preserve">
Sale of PG
Date of Sale 8/26/2025
Prior to the sale  
# of shares in account 40
Cost basis per share 137.93
This action  
Shares sold 40
Price per share 155.81
Principal amount $6,232.40
Fees $0.00
Total received $6,232.40
Cost basis of shares sold $5,517.20
Profit (loss) $715.20 
After the sale  
Date of sale 8/26/2025
Total # of shares remaining 0
Cost basis per share remains at 0
</t>
        </r>
      </text>
    </comment>
    <comment ref="CH114" authorId="0" shapeId="0" xr:uid="{DC7BD5E9-6AE1-4FD9-8150-5F51CC81FB69}">
      <text>
        <r>
          <rPr>
            <b/>
            <sz val="9"/>
            <color indexed="81"/>
            <rFont val="Tahoma"/>
            <family val="2"/>
          </rPr>
          <t>Rob Squire:</t>
        </r>
        <r>
          <rPr>
            <sz val="9"/>
            <color indexed="81"/>
            <rFont val="Tahoma"/>
            <family val="2"/>
          </rPr>
          <t xml:space="preserve">
Sale of UNH
Date of Sale 8/26/2025
Prior to the sale  
# of shares in account 90
Cost basis per share ?
This action  
Shares sold 90
Price per share 307.0601
Principal amount $27,635.41
Fees $0.00
Total received $27,635.41
Cost basis of shares sold #VALUE!
Profit (loss) #VALUE!
After the sale  
Date of sale 8/26/2025
Total # of shares remaining 0
Cost basis per share remains at 0
</t>
        </r>
      </text>
    </comment>
    <comment ref="CS114" authorId="0" shapeId="0" xr:uid="{AF9D953C-560C-4F92-9A78-28B868D1F123}">
      <text>
        <r>
          <rPr>
            <b/>
            <sz val="9"/>
            <color indexed="81"/>
            <rFont val="Tahoma"/>
            <family val="2"/>
          </rPr>
          <t>Rob Squire:</t>
        </r>
        <r>
          <rPr>
            <sz val="9"/>
            <color indexed="81"/>
            <rFont val="Tahoma"/>
            <family val="2"/>
          </rPr>
          <t xml:space="preserve">
Sale of VRTX
Date of Sale 8/26/2025
Prior to the sale  
# of shares in account 20
Cost basis per share 425.12
This action  
Shares sold 20
Price per share 387.9418
Principal amount $7,758.84
Fees $0.07
Total received $7,758.77
Cost basis of shares sold $8,502.40
Profit (loss) ($743.63)
After the sale  
Date of sale 8/26/2025
Total # of shares remaining 0
Cost basis per share remains at 0
</t>
        </r>
      </text>
    </comment>
    <comment ref="H116" authorId="0" shapeId="0" xr:uid="{8DF75CAD-999D-4D9E-90B9-D7C2035F823F}">
      <text>
        <r>
          <rPr>
            <b/>
            <sz val="9"/>
            <color indexed="81"/>
            <rFont val="Tahoma"/>
            <charset val="1"/>
          </rPr>
          <t>Rob Squire:</t>
        </r>
        <r>
          <rPr>
            <sz val="9"/>
            <color indexed="81"/>
            <rFont val="Tahoma"/>
            <charset val="1"/>
          </rPr>
          <t xml:space="preserve">
Sale of GE
Date of Sale 8/28/2025
Prior to the sale  
# of shares in account 40
Cost basis per share 167.6384
This action  
Shares sold 40
Price per share 273.14
Principal amount $10,925.60
Fees $0.00
Total received $10,925.60
Cost basis of shares sold $6,705.54
Profit (loss) $4,220.06 
After the sale  
Date of sale 8/28/2025
Total # of shares remaining 0
Cost basis per share remains at 0
</t>
        </r>
      </text>
    </comment>
    <comment ref="I116" authorId="0" shapeId="0" xr:uid="{55FAF9A7-2885-4EE1-A8C7-228F6E8FF5F1}">
      <text>
        <r>
          <rPr>
            <b/>
            <sz val="9"/>
            <color indexed="81"/>
            <rFont val="Tahoma"/>
            <charset val="1"/>
          </rPr>
          <t>Rob Squire:</t>
        </r>
        <r>
          <rPr>
            <sz val="9"/>
            <color indexed="81"/>
            <rFont val="Tahoma"/>
            <charset val="1"/>
          </rPr>
          <t xml:space="preserve">
Sale of IEFA
Date of Sale 8/28/2025
Prior to the sale  
# of shares in account 300
Cost basis per share 63.35
This action  
Shares sold 300
Price per share 86.0401
Principal amount $25,812.03
Fees $0.00
Total received $25,812.03
Cost basis of shares sold $19,005.00
Profit (loss) $6,807.03 
After the sale  
Date of sale 8/28/2025
Total # of shares remaining 0
Cost basis per share remains at 0
</t>
        </r>
      </text>
    </comment>
    <comment ref="J116" authorId="0" shapeId="0" xr:uid="{0A948F5C-3EE6-4165-834B-05D78B697018}">
      <text>
        <r>
          <rPr>
            <b/>
            <sz val="9"/>
            <color indexed="81"/>
            <rFont val="Tahoma"/>
            <charset val="1"/>
          </rPr>
          <t>Rob Squire:</t>
        </r>
        <r>
          <rPr>
            <sz val="9"/>
            <color indexed="81"/>
            <rFont val="Tahoma"/>
            <charset val="1"/>
          </rPr>
          <t xml:space="preserve">
Sale of IEMG
Date of Sale 8/28/2025
Prior to the sale  
# of shares in account 150
Cost basis per share 49.7
This action  
Shares sold 150
Price per share 62.24
Principal amount $9,336.00
Fees $0.00
Total received $9,336.00
Cost basis of shares sold $7,455.00
Profit (loss) $1,881.00 
After the sale  
Date of sale 8/28/2025
Total # of shares remaining 0
Cost basis per share remains at 0
</t>
        </r>
      </text>
    </comment>
    <comment ref="K116" authorId="0" shapeId="0" xr:uid="{1030AC11-AE63-4CA5-A677-A6ACD13D67EC}">
      <text>
        <r>
          <rPr>
            <b/>
            <sz val="9"/>
            <color indexed="81"/>
            <rFont val="Tahoma"/>
            <charset val="1"/>
          </rPr>
          <t>Rob Squire:</t>
        </r>
        <r>
          <rPr>
            <sz val="9"/>
            <color indexed="81"/>
            <rFont val="Tahoma"/>
            <charset val="1"/>
          </rPr>
          <t xml:space="preserve">
Sale of IJR
Date of Sale 8/28/2025
Prior to the sale  
# of shares in account 80
Cost basis per share 80.68
This action  
Shares sold 80
Price per share 118.4865
Principal amount $9,478.92
Fees $0.00
Total received $9,478.92
Cost basis of shares sold $6,454.40
Profit (loss) $3,024.52 
After the sale  
Date of sale 8/28/2025
Total # of shares remaining 0
Cost basis per share remains at 0
</t>
        </r>
      </text>
    </comment>
    <comment ref="L116" authorId="0" shapeId="0" xr:uid="{3214F53B-24AD-4D51-A407-3CFB64DB6A24}">
      <text>
        <r>
          <rPr>
            <b/>
            <sz val="9"/>
            <color indexed="81"/>
            <rFont val="Tahoma"/>
            <charset val="1"/>
          </rPr>
          <t>Rob Squire:</t>
        </r>
        <r>
          <rPr>
            <sz val="9"/>
            <color indexed="81"/>
            <rFont val="Tahoma"/>
            <charset val="1"/>
          </rPr>
          <t xml:space="preserve">
Sale of JPM
Date of Sale 8/28/2025
Prior to the sale  
# of shares in account 55
Cost basis per share 116.05
This action  
Shares sold 55
Price per share 299.517
Principal amount $16,473.44
Fees $0.00
Total received $16,473.44
Cost basis of shares sold $6,382.75
Profit (loss) $10,090.69 
After the sale  
Date of sale 8/28/2025
Total # of shares remaining 0
Cost basis per share remains at 0
</t>
        </r>
      </text>
    </comment>
    <comment ref="M116" authorId="0" shapeId="0" xr:uid="{D0FF041F-F31E-42E5-8572-9448D9A45E45}">
      <text>
        <r>
          <rPr>
            <b/>
            <sz val="9"/>
            <color indexed="81"/>
            <rFont val="Tahoma"/>
            <charset val="1"/>
          </rPr>
          <t>Rob Squire:</t>
        </r>
        <r>
          <rPr>
            <sz val="9"/>
            <color indexed="81"/>
            <rFont val="Tahoma"/>
            <charset val="1"/>
          </rPr>
          <t xml:space="preserve">
Sale of MSFT
Date of Sale 8/28/2025
Prior to the sale  
# of shares in account 30
Cost basis per share 221.05
This action  
Shares sold 30
Price per share 507.28
Principal amount $15,218.40
Fees $0.00
Total received $15,218.40
Cost basis of shares sold $6,631.50
Profit (loss) $8,586.90 
After the sale  
Date of sale 8/28/2025
Total # of shares remaining 0
Cost basis per share remains at 0
</t>
        </r>
      </text>
    </comment>
    <comment ref="Q116" authorId="0" shapeId="0" xr:uid="{6D7539A5-2330-416E-96E3-EE624F6FFF2A}">
      <text>
        <r>
          <rPr>
            <b/>
            <sz val="9"/>
            <color indexed="81"/>
            <rFont val="Tahoma"/>
            <charset val="1"/>
          </rPr>
          <t>Rob Squire:</t>
        </r>
        <r>
          <rPr>
            <sz val="9"/>
            <color indexed="81"/>
            <rFont val="Tahoma"/>
            <charset val="1"/>
          </rPr>
          <t xml:space="preserve">
Sale of TSM
Date of Sale 8/28/2025
Prior to the sale  
# of shares in account 40
Cost basis per share 162.35
This action  
Shares sold 40
Price per share 237.76
Principal amount $9,510.40
Fees $0.00
Total received $9,510.40
Cost basis of shares sold $6,494.00
Profit (loss) $3,016.40 
After the sale  
Date of sale 8/28/2025
Total # of shares remaining 0
Cost basis per share remains at 0
</t>
        </r>
      </text>
    </comment>
    <comment ref="S116" authorId="0" shapeId="0" xr:uid="{D29ACD0B-4CD2-4BFE-AA0D-CF99A1101F31}">
      <text>
        <r>
          <rPr>
            <b/>
            <sz val="9"/>
            <color indexed="81"/>
            <rFont val="Tahoma"/>
            <charset val="1"/>
          </rPr>
          <t>Rob Squire:</t>
        </r>
        <r>
          <rPr>
            <sz val="9"/>
            <color indexed="81"/>
            <rFont val="Tahoma"/>
            <charset val="1"/>
          </rPr>
          <t xml:space="preserve">
Sale of VEA
Date of Sale 8/28/2025
Prior to the sale  
# of shares in account 450
Cost basis per share 44.77
This action  
Shares sold 450
Price per share 58.9854
Principal amount $26,543.43
Fees $0.07
Total received $26,543.36
Cost basis of shares sold $20,146.50
Profit (loss) $6,396.86 
After the sale  
Date of sale 8/28/2025
Total # of shares remaining 0
Cost basis per share remains at 0
</t>
        </r>
      </text>
    </comment>
    <comment ref="T116" authorId="0" shapeId="0" xr:uid="{17A5301A-65FE-434D-BB1A-A1936F0F09E1}">
      <text>
        <r>
          <rPr>
            <b/>
            <sz val="9"/>
            <color indexed="81"/>
            <rFont val="Tahoma"/>
            <charset val="1"/>
          </rPr>
          <t>Rob Squire:</t>
        </r>
        <r>
          <rPr>
            <sz val="9"/>
            <color indexed="81"/>
            <rFont val="Tahoma"/>
            <charset val="1"/>
          </rPr>
          <t xml:space="preserve">
Sale of VSS
Date of Sale 8/28/2025
Prior to the sale  
# of shares in account 40
Cost basis per share 109.33
This action  
Shares sold 40
Price per share 140.2418
Principal amount $5,609.67
Fees $0.07
Total received $5,609.60
Cost basis of shares sold $4,373.20
Profit (loss) $1,236.40 
After the sale  
Date of sale 8/28/2025
Total # of shares remaining 0
Cost basis per share remains at 0
</t>
        </r>
      </text>
    </comment>
    <comment ref="AJ116" authorId="0" shapeId="0" xr:uid="{D98380E0-6140-47BA-A5A3-D48B6A39A52E}">
      <text>
        <r>
          <rPr>
            <b/>
            <sz val="9"/>
            <color indexed="81"/>
            <rFont val="Tahoma"/>
            <family val="2"/>
          </rPr>
          <t>Rob Squire:</t>
        </r>
        <r>
          <rPr>
            <sz val="9"/>
            <color indexed="81"/>
            <rFont val="Tahoma"/>
            <family val="2"/>
          </rPr>
          <t xml:space="preserve">
Sale of AMZN
Date of Sale 8/28/2025
Prior to the sale  
# of shares in account 80
Cost basis per share 167.51
This action  
Shares sold 80
Price per share 230.523
Principal amount $18,441.84
Fees $0.00
Total received $18,441.84
Cost basis of shares sold $13,400.80
Profit (loss) $5,041.04 
After the sale  
Date of sale 8/28/2025
Total # of shares remaining 0
Cost basis per share remains at 0
</t>
        </r>
      </text>
    </comment>
    <comment ref="AP116" authorId="0" shapeId="0" xr:uid="{E7EFC585-E48B-442A-A090-B81DCB4C79DA}">
      <text>
        <r>
          <rPr>
            <b/>
            <sz val="9"/>
            <color indexed="81"/>
            <rFont val="Tahoma"/>
            <family val="2"/>
          </rPr>
          <t>Rob Squire:</t>
        </r>
        <r>
          <rPr>
            <sz val="9"/>
            <color indexed="81"/>
            <rFont val="Tahoma"/>
            <family val="2"/>
          </rPr>
          <t xml:space="preserve">
Sale of CG
Date of Sale 8/28/2025
Prior to the sale  
# of shares in account 150
Cost basis per share 47.4975
This action  
Shares sold 150
Price per share 64.96
Principal amount $9,744.00
Fees $0.00
Total received $9,744.00
Cost basis of shares sold $7,124.63
Profit (loss) $2,619.38 
After the sale  
Date of sale 8/28/2025
Total # of shares remaining 0
Cost basis per share remains at 0
</t>
        </r>
      </text>
    </comment>
    <comment ref="BB116" authorId="0" shapeId="0" xr:uid="{2CB2DAA5-0272-4D69-B97D-FC9FADF1578A}">
      <text>
        <r>
          <rPr>
            <b/>
            <sz val="9"/>
            <color indexed="81"/>
            <rFont val="Tahoma"/>
            <family val="2"/>
          </rPr>
          <t>Rob Squire:</t>
        </r>
        <r>
          <rPr>
            <sz val="9"/>
            <color indexed="81"/>
            <rFont val="Tahoma"/>
            <family val="2"/>
          </rPr>
          <t xml:space="preserve">
Sale of FZILX
Date of Sale 8/28/2025
Prior to the sale  
# of shares in account 7790
Cost basis per share 14.12
This action  
Shares sold 7175
Price per share 13.99
Principal amount $100,378.25
Fees $0.00
Total received $100,378.25
Cost basis of shares sold $101,311.00
Profit (loss) ($932.75)
After the sale  
Date of sale 8/28/2025
Total # of shares remaining 615.368
Cost basis per share remains at 14.12
</t>
        </r>
      </text>
    </comment>
    <comment ref="BC116" authorId="0" shapeId="0" xr:uid="{90DD9A7C-346D-47FA-9E00-74DD00065265}">
      <text>
        <r>
          <rPr>
            <b/>
            <sz val="9"/>
            <color indexed="81"/>
            <rFont val="Tahoma"/>
            <family val="2"/>
          </rPr>
          <t>Rob Squire:</t>
        </r>
        <r>
          <rPr>
            <sz val="9"/>
            <color indexed="81"/>
            <rFont val="Tahoma"/>
            <family val="2"/>
          </rPr>
          <t xml:space="preserve">
Sale of FZROX
Date of Sale 8/28/2025
Prior to the sale  
# of shares in account 11984
Cost basis per share 22.53
This action  
Shares sold 1764
Price per share 22.670005
Principal amount $40,000.00
Fees $0.00
Total received $40,000.00
Cost basis of shares sold $39,752.97
Profit (loss) $247.03 
After the sale  
Date of sale 8/28/2025
Total # of shares remaining 10219.575
Cost basis per share remains at 22.53
</t>
        </r>
      </text>
    </comment>
    <comment ref="BD116" authorId="0" shapeId="0" xr:uid="{F9328224-1907-4621-90C3-6BA6F4C83AF0}">
      <text>
        <r>
          <rPr>
            <b/>
            <sz val="9"/>
            <color indexed="81"/>
            <rFont val="Tahoma"/>
            <family val="2"/>
          </rPr>
          <t>Rob Squire:</t>
        </r>
        <r>
          <rPr>
            <sz val="9"/>
            <color indexed="81"/>
            <rFont val="Tahoma"/>
            <family val="2"/>
          </rPr>
          <t xml:space="preserve">
Purchase of GE
Date of Purchase 8/28/2025
Prior to the purchase  
# of shares in account 20
Cost basis per share 251.5627
This action  
Shares purchased 40
Price per share 273.0255
Principal amount $10,921.02
Fees $0.00
Total paid $10,921.02
After the purchase  
Date of purchase 8/28/2025
New total # of shares in account 60
Cost basis per share  265.87
</t>
        </r>
      </text>
    </comment>
    <comment ref="BN116" authorId="0" shapeId="0" xr:uid="{C8508D05-149D-4912-BB78-E88641A042F2}">
      <text>
        <r>
          <rPr>
            <b/>
            <sz val="9"/>
            <color indexed="81"/>
            <rFont val="Tahoma"/>
            <family val="2"/>
          </rPr>
          <t>Rob Squire:</t>
        </r>
        <r>
          <rPr>
            <sz val="9"/>
            <color indexed="81"/>
            <rFont val="Tahoma"/>
            <family val="2"/>
          </rPr>
          <t xml:space="preserve">
Purchase of IJR
Date of Purchase 8/28/2025
Prior to the purchase  
# of shares in account 10
Cost basis per share 106.06
This action  
Shares purchased 80
Price per share 118.2435
Principal amount $9,459.48
Fees $0.00
Total paid $9,459.48
After the purchase  
Date of purchase 8/28/2025
New total # of shares in account 90
Cost basis per share  116.89
</t>
        </r>
      </text>
    </comment>
    <comment ref="BQ116" authorId="0" shapeId="0" xr:uid="{E26E6F25-A546-4266-A371-049F03DF54DD}">
      <text>
        <r>
          <rPr>
            <b/>
            <sz val="9"/>
            <color indexed="81"/>
            <rFont val="Tahoma"/>
            <family val="2"/>
          </rPr>
          <t>Rob Squire:</t>
        </r>
        <r>
          <rPr>
            <sz val="9"/>
            <color indexed="81"/>
            <rFont val="Tahoma"/>
            <family val="2"/>
          </rPr>
          <t xml:space="preserve">
Purchase of JPM
Date of Purchase 8/28/2025
Prior to the purchase  
# of shares in account 0
Cost basis per share N/A
This action  
Shares purchased 54.721
Price per share 300.38
Principal amount $16,437.09
Fees $0.00
Total paid $16,437.09
After the purchase  
Date of purchase 8/28/2025
New total # of shares in account 54.721
Cost basis per share  300.38
</t>
        </r>
      </text>
    </comment>
    <comment ref="BU116" authorId="0" shapeId="0" xr:uid="{5F31CD77-F308-491F-8388-401F86CC955E}">
      <text>
        <r>
          <rPr>
            <b/>
            <sz val="9"/>
            <color indexed="81"/>
            <rFont val="Tahoma"/>
            <family val="2"/>
          </rPr>
          <t>Rob Squire:</t>
        </r>
        <r>
          <rPr>
            <sz val="9"/>
            <color indexed="81"/>
            <rFont val="Tahoma"/>
            <family val="2"/>
          </rPr>
          <t xml:space="preserve">
Purchase of MSFT
Date of Purchase 8/28/2025
Prior to the purchase  
# of shares in account 0
Cost basis per share N/A
This action  
Shares purchased 29.642
Price per share 506.114
Principal amount $15,002.23
Fees $0.00
Total paid $15,002.23
After the purchase  
Date of purchase 8/28/2025
New total # of shares in account 29.642
Cost basis per share  506.11
</t>
        </r>
      </text>
    </comment>
    <comment ref="CE116" authorId="0" shapeId="0" xr:uid="{D33225A3-6E2D-4C4C-8829-80A6F027F995}">
      <text>
        <r>
          <rPr>
            <b/>
            <sz val="9"/>
            <color indexed="81"/>
            <rFont val="Tahoma"/>
            <family val="2"/>
          </rPr>
          <t>Rob Squire:</t>
        </r>
        <r>
          <rPr>
            <sz val="9"/>
            <color indexed="81"/>
            <rFont val="Tahoma"/>
            <family val="2"/>
          </rPr>
          <t xml:space="preserve">
Purchase of TSM
Date of Purchase 8/28/2025
Prior to the purchase  
# of shares in account 0
Cost basis per share N/A
This action  
Shares purchased 63.153
Price per share 237.52
Principal amount $15,000.10
Fees $0.00
Total paid $15,000.10
After the purchase  
Date of purchase 8/28/2025
New total # of shares in account 63.153
Cost basis per share  237.52
</t>
        </r>
      </text>
    </comment>
    <comment ref="CT116" authorId="0" shapeId="0" xr:uid="{45030E0E-DAD5-44CB-A532-2A6EAB55B99E}">
      <text>
        <r>
          <rPr>
            <b/>
            <sz val="9"/>
            <color indexed="81"/>
            <rFont val="Tahoma"/>
            <family val="2"/>
          </rPr>
          <t>Rob Squire:</t>
        </r>
        <r>
          <rPr>
            <sz val="9"/>
            <color indexed="81"/>
            <rFont val="Tahoma"/>
            <family val="2"/>
          </rPr>
          <t xml:space="preserve">
Purchase of VSS
Date of Purchase 8/28/2025
Prior to the purchase  
# of shares in account 0
Cost basis per share N/A
This action  
Shares purchased 40
Price per share 140.2125
Principal amount $5,608.50
Fees $0.00
Total paid $5,608.50
After the purchase  
Date of purchase 8/28/2025
New total # of shares in account 40
Cost basis per share  140.2125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Rob Squire</author>
  </authors>
  <commentList>
    <comment ref="AD8" authorId="0" shapeId="0" xr:uid="{D79AC72C-159B-4459-8ADC-5583E6D58AD9}">
      <text>
        <r>
          <rPr>
            <b/>
            <sz val="9"/>
            <color indexed="81"/>
            <rFont val="Tahoma"/>
            <family val="2"/>
          </rPr>
          <t>Rob Squire:</t>
        </r>
        <r>
          <rPr>
            <sz val="9"/>
            <color indexed="81"/>
            <rFont val="Tahoma"/>
            <family val="2"/>
          </rPr>
          <t xml:space="preserve">
Significant changes in portfolio due to rebalancing since 8/21/25.  zzyield and compare info is not valid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Rob Squire</author>
  </authors>
  <commentList>
    <comment ref="AG7" authorId="0" shapeId="0" xr:uid="{D1FAA309-42B1-4EE0-9B6A-705792607A38}">
      <text>
        <r>
          <rPr>
            <b/>
            <sz val="9"/>
            <color indexed="81"/>
            <rFont val="Tahoma"/>
            <charset val="1"/>
          </rPr>
          <t>Rob Squire:</t>
        </r>
        <r>
          <rPr>
            <sz val="9"/>
            <color indexed="81"/>
            <rFont val="Tahoma"/>
            <charset val="1"/>
          </rPr>
          <t xml:space="preserve">
Significant changes in portfolio due to rebalancing since 8/21/25.  zzyield and compare info is not valid</t>
        </r>
      </text>
    </comment>
    <comment ref="AN7" authorId="0" shapeId="0" xr:uid="{C1D1A09F-2D3E-4ECE-A81F-663001762859}">
      <text>
        <r>
          <rPr>
            <b/>
            <sz val="9"/>
            <color indexed="81"/>
            <rFont val="Tahoma"/>
            <charset val="1"/>
          </rPr>
          <t>Rob Squire:</t>
        </r>
        <r>
          <rPr>
            <sz val="9"/>
            <color indexed="81"/>
            <rFont val="Tahoma"/>
            <charset val="1"/>
          </rPr>
          <t xml:space="preserve">
Significant changes in portfolio due to rebalancing since 8/21/25.  zzyield and compare info is not valid</t>
        </r>
      </text>
    </comment>
    <comment ref="B27" authorId="0" shapeId="0" xr:uid="{6663E451-33DC-4303-9509-FE88C854E104}">
      <text>
        <r>
          <rPr>
            <b/>
            <sz val="9"/>
            <color indexed="81"/>
            <rFont val="Tahoma"/>
            <family val="2"/>
          </rPr>
          <t>Rob Squire:</t>
        </r>
        <r>
          <rPr>
            <sz val="9"/>
            <color indexed="81"/>
            <rFont val="Tahoma"/>
            <family val="2"/>
          </rPr>
          <t xml:space="preserve">
Fidelity Long Term Treasury Bond Index</t>
        </r>
      </text>
    </comment>
    <comment ref="B28" authorId="0" shapeId="0" xr:uid="{83BD859F-0118-4D52-87FE-36C14441B281}">
      <text>
        <r>
          <rPr>
            <b/>
            <sz val="9"/>
            <color indexed="81"/>
            <rFont val="Tahoma"/>
            <family val="2"/>
          </rPr>
          <t>Rob Squire:</t>
        </r>
        <r>
          <rPr>
            <sz val="9"/>
            <color indexed="81"/>
            <rFont val="Tahoma"/>
            <family val="2"/>
          </rPr>
          <t xml:space="preserve">
Fidelity Long Term Treasury Bond Index</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Rob</author>
    <author>Rob Squire</author>
    <author>tc={F37776BD-A444-464A-8BC7-26EC1F639312}</author>
  </authors>
  <commentList>
    <comment ref="A5" authorId="0" shapeId="0" xr:uid="{0CD6AD34-E0FC-4FE1-9A5E-F21BC1F0301B}">
      <text>
        <r>
          <rPr>
            <b/>
            <sz val="9"/>
            <color indexed="81"/>
            <rFont val="Tahoma"/>
            <family val="2"/>
          </rPr>
          <t>Rob:</t>
        </r>
        <r>
          <rPr>
            <sz val="9"/>
            <color indexed="81"/>
            <rFont val="Tahoma"/>
            <family val="2"/>
          </rPr>
          <t xml:space="preserve">
Fidelity Govt Money Market Acct
Changed to Fidelity Government Cash Reserves in Sep, 2018</t>
        </r>
      </text>
    </comment>
    <comment ref="H6" authorId="1" shapeId="0" xr:uid="{84CE18B9-E52D-4F3F-A842-BFF787160700}">
      <text>
        <r>
          <rPr>
            <b/>
            <sz val="9"/>
            <color indexed="81"/>
            <rFont val="Tahoma"/>
            <charset val="1"/>
          </rPr>
          <t>Rob Squire:</t>
        </r>
        <r>
          <rPr>
            <sz val="9"/>
            <color indexed="81"/>
            <rFont val="Tahoma"/>
            <charset val="1"/>
          </rPr>
          <t xml:space="preserve">
I changed the core position in this accout with Fidelity from FDRXX to SPAXX on 9/30/2025.  Then, after changing the account on the Conservative Porfolio Evals worksheet in cell B10, the XLOOKUP function in cell AF10 couldn't find the data on this sheet.  I manually changed the account name here to show SPAXX</t>
        </r>
      </text>
    </comment>
    <comment ref="A7" authorId="1" shapeId="0" xr:uid="{C71D2F9F-E6B9-41EA-97EE-403BA4F6E420}">
      <text>
        <r>
          <rPr>
            <b/>
            <sz val="9"/>
            <color indexed="81"/>
            <rFont val="Tahoma"/>
            <family val="2"/>
          </rPr>
          <t>Rob Squire:</t>
        </r>
        <r>
          <rPr>
            <sz val="9"/>
            <color indexed="81"/>
            <rFont val="Tahoma"/>
            <family val="2"/>
          </rPr>
          <t xml:space="preserve">
Fidelity Long Term Treasury Bond Index</t>
        </r>
      </text>
    </comment>
    <comment ref="A9" authorId="1" shapeId="0" xr:uid="{22405D0D-D6A3-4D21-992D-494EDABB9243}">
      <text>
        <r>
          <rPr>
            <b/>
            <sz val="9"/>
            <color indexed="81"/>
            <rFont val="Tahoma"/>
            <family val="2"/>
          </rPr>
          <t>Rob Squire:</t>
        </r>
        <r>
          <rPr>
            <sz val="9"/>
            <color indexed="81"/>
            <rFont val="Tahoma"/>
            <family val="2"/>
          </rPr>
          <t xml:space="preserve">
Fidelity Total Bond Fund
Normally investing at least 80% of assets in debt securities of all types and repurchase agreements for those securities. Using the Bloomberg Barclays U.S. Universal Bond Index as a guide in allocating assets across the investment-grade, high yield, and emerging market asset classes. Investing up to 20% of assets in lower-quality debt securities.
1/14/2020 Bought 5,059.253 shares @ 10.97 ($55,500)</t>
        </r>
      </text>
    </comment>
    <comment ref="A11" authorId="0" shapeId="0" xr:uid="{3E43DD3C-B46E-4DB4-BFF7-7ADD51800F93}">
      <text>
        <r>
          <rPr>
            <b/>
            <sz val="9"/>
            <color indexed="81"/>
            <rFont val="Tahoma"/>
            <family val="2"/>
          </rPr>
          <t>Rob:</t>
        </r>
        <r>
          <rPr>
            <sz val="9"/>
            <color indexed="81"/>
            <rFont val="Tahoma"/>
            <family val="2"/>
          </rPr>
          <t xml:space="preserve">
ISHARES ETF modelling the MCSI EAFE representing large and mid cap companies in Europe, Australia, Asia and Far East (no US)</t>
        </r>
      </text>
    </comment>
    <comment ref="A12" authorId="0" shapeId="0" xr:uid="{90EE6106-38D5-4F74-B392-171639B58A54}">
      <text>
        <r>
          <rPr>
            <b/>
            <sz val="9"/>
            <color indexed="81"/>
            <rFont val="Tahoma"/>
            <family val="2"/>
          </rPr>
          <t>Rob:</t>
        </r>
        <r>
          <rPr>
            <sz val="9"/>
            <color indexed="81"/>
            <rFont val="Tahoma"/>
            <family val="2"/>
          </rPr>
          <t xml:space="preserve">
ISHARES ETF rrepresenting Emerging Markets</t>
        </r>
      </text>
    </comment>
    <comment ref="A14" authorId="1" shapeId="0" xr:uid="{E1547FC5-C576-4490-8A49-B71579F0C124}">
      <text>
        <r>
          <rPr>
            <b/>
            <sz val="9"/>
            <color indexed="81"/>
            <rFont val="Tahoma"/>
            <family val="2"/>
          </rPr>
          <t>Rob Squire:</t>
        </r>
        <r>
          <rPr>
            <sz val="9"/>
            <color indexed="81"/>
            <rFont val="Tahoma"/>
            <family val="2"/>
          </rPr>
          <t xml:space="preserve">
JP Morgan</t>
        </r>
      </text>
    </comment>
    <comment ref="A20" authorId="0" shapeId="0" xr:uid="{B1B9BEEC-7746-4CA8-80A2-E7502387E802}">
      <text>
        <r>
          <rPr>
            <b/>
            <sz val="9"/>
            <color indexed="81"/>
            <rFont val="Tahoma"/>
            <family val="2"/>
          </rPr>
          <t>Rob:</t>
        </r>
        <r>
          <rPr>
            <sz val="9"/>
            <color indexed="81"/>
            <rFont val="Tahoma"/>
            <family val="2"/>
          </rPr>
          <t xml:space="preserve">
Harding Loevner Emerging Markets.
This fund seeks long term capital appreciation through investments in equity securities of companies based in emerging markets.  
Composition is mostly large cap companies. 50% Asia, 16% Latin America, 11% emerging Europe, 7% Africa</t>
        </r>
      </text>
    </comment>
    <comment ref="A21" authorId="0" shapeId="0" xr:uid="{12150911-EF66-4AD1-AFF8-E305004EE7CD}">
      <text>
        <r>
          <rPr>
            <b/>
            <sz val="9"/>
            <color indexed="81"/>
            <rFont val="Tahoma"/>
            <family val="2"/>
          </rPr>
          <t>Rob:</t>
        </r>
        <r>
          <rPr>
            <sz val="9"/>
            <color indexed="81"/>
            <rFont val="Tahoma"/>
            <family val="2"/>
          </rPr>
          <t xml:space="preserve">
Vanguard Developed Market ETF</t>
        </r>
      </text>
    </comment>
    <comment ref="A23" authorId="0" shapeId="0" xr:uid="{9AC28C0F-4C86-4741-92C9-B4D163500EA8}">
      <text>
        <r>
          <rPr>
            <b/>
            <sz val="9"/>
            <color indexed="81"/>
            <rFont val="Tahoma"/>
            <family val="2"/>
          </rPr>
          <t>Rob:</t>
        </r>
        <r>
          <rPr>
            <sz val="9"/>
            <color indexed="81"/>
            <rFont val="Tahoma"/>
            <family val="2"/>
          </rPr>
          <t xml:space="preserve">
Westcore Colorado Tax Exempt</t>
        </r>
      </text>
    </comment>
    <comment ref="A24" authorId="1" shapeId="0" xr:uid="{C1E15E69-8D7D-4A01-9536-C4DDF7D1C8E7}">
      <text>
        <r>
          <rPr>
            <b/>
            <sz val="9"/>
            <color indexed="81"/>
            <rFont val="Tahoma"/>
            <family val="2"/>
          </rPr>
          <t>Rob Squire:</t>
        </r>
        <r>
          <rPr>
            <sz val="9"/>
            <color indexed="81"/>
            <rFont val="Tahoma"/>
            <family val="2"/>
          </rPr>
          <t xml:space="preserve">
Vanguard High Yield Corporate Fund Investor Shares</t>
        </r>
      </text>
    </comment>
    <comment ref="A25" authorId="1" shapeId="0" xr:uid="{CA66BAD1-9D86-41BA-A1AA-28DA6C94DDCF}">
      <text>
        <r>
          <rPr>
            <b/>
            <sz val="9"/>
            <color indexed="81"/>
            <rFont val="Tahoma"/>
            <family val="2"/>
          </rPr>
          <t>Rob Squire:</t>
        </r>
        <r>
          <rPr>
            <sz val="9"/>
            <color indexed="81"/>
            <rFont val="Tahoma"/>
            <family val="2"/>
          </rPr>
          <t xml:space="preserve">
Vanguard Long Term Investment Grade Fund Investor Shares</t>
        </r>
      </text>
    </comment>
    <comment ref="A33" authorId="0" shapeId="0" xr:uid="{215266DA-ECB6-43A2-9500-CF5EA9112D05}">
      <text>
        <r>
          <rPr>
            <b/>
            <sz val="9"/>
            <color indexed="81"/>
            <rFont val="Tahoma"/>
            <family val="2"/>
          </rPr>
          <t>Rob:</t>
        </r>
        <r>
          <rPr>
            <sz val="9"/>
            <color indexed="81"/>
            <rFont val="Tahoma"/>
            <family val="2"/>
          </rPr>
          <t xml:space="preserve">
Fidelity Govt Money Market Acct
Changed to Fidelity Government Cash Reserves in Sep, 2018</t>
        </r>
      </text>
    </comment>
    <comment ref="A40" authorId="1" shapeId="0" xr:uid="{8DBE064F-072C-41BF-94FF-93D4BB6639D9}">
      <text>
        <r>
          <rPr>
            <b/>
            <sz val="9"/>
            <color indexed="81"/>
            <rFont val="Tahoma"/>
            <family val="2"/>
          </rPr>
          <t>Rob Squire:</t>
        </r>
        <r>
          <rPr>
            <sz val="9"/>
            <color indexed="81"/>
            <rFont val="Tahoma"/>
            <family val="2"/>
          </rPr>
          <t xml:space="preserve">
Autozone</t>
        </r>
      </text>
    </comment>
    <comment ref="A47" authorId="1" shapeId="0" xr:uid="{99978961-83A5-4911-BD02-99888E31B863}">
      <text>
        <r>
          <rPr>
            <b/>
            <sz val="9"/>
            <color indexed="81"/>
            <rFont val="Tahoma"/>
            <family val="2"/>
          </rPr>
          <t>Rob Squire:</t>
        </r>
        <r>
          <rPr>
            <sz val="9"/>
            <color indexed="81"/>
            <rFont val="Tahoma"/>
            <family val="2"/>
          </rPr>
          <t xml:space="preserve">
SPDR Convertible Bond ETF</t>
        </r>
      </text>
    </comment>
    <comment ref="A48" authorId="1" shapeId="0" xr:uid="{E4A089CD-A248-47FD-9BA2-C7D9BDA4289F}">
      <text>
        <r>
          <rPr>
            <b/>
            <sz val="9"/>
            <color indexed="81"/>
            <rFont val="Tahoma"/>
            <family val="2"/>
          </rPr>
          <t>Rob Squire:</t>
        </r>
        <r>
          <rPr>
            <sz val="9"/>
            <color indexed="81"/>
            <rFont val="Tahoma"/>
            <family val="2"/>
          </rPr>
          <t xml:space="preserve">
Delta Airlines</t>
        </r>
      </text>
    </comment>
    <comment ref="A49" authorId="1" shapeId="0" xr:uid="{8EBA189A-64C3-4089-8D4D-2A3A13AAE863}">
      <text>
        <r>
          <rPr>
            <b/>
            <sz val="9"/>
            <color indexed="81"/>
            <rFont val="Tahoma"/>
            <family val="2"/>
          </rPr>
          <t>Rob Squire:</t>
        </r>
        <r>
          <rPr>
            <sz val="9"/>
            <color indexed="81"/>
            <rFont val="Tahoma"/>
            <family val="2"/>
          </rPr>
          <t xml:space="preserve">
</t>
        </r>
        <r>
          <rPr>
            <b/>
            <sz val="9"/>
            <color indexed="81"/>
            <rFont val="Tahoma"/>
            <family val="2"/>
          </rPr>
          <t>Objective</t>
        </r>
        <r>
          <rPr>
            <sz val="9"/>
            <color indexed="81"/>
            <rFont val="Tahoma"/>
            <family val="2"/>
          </rPr>
          <t xml:space="preserve">
The investment seeks a high and stable rate of current income, consistent with long-term preservation of capital.
</t>
        </r>
        <r>
          <rPr>
            <b/>
            <sz val="9"/>
            <color indexed="81"/>
            <rFont val="Tahoma"/>
            <family val="2"/>
          </rPr>
          <t>Strategy</t>
        </r>
        <r>
          <rPr>
            <sz val="9"/>
            <color indexed="81"/>
            <rFont val="Tahoma"/>
            <family val="2"/>
          </rPr>
          <t xml:space="preserve">
The fund invests in a diversified portfolio of bonds and other debt securities. Under normal circumstances, the fund will invest at least 80% of its total assets in (1) investment-grade debt securities and (2) cash equivalents. "Investment grade" means securities rated Baa3 or higher by Moody's Investors Service, or BBB- or higher by Standard &amp; Poor's Ratings Group or Fitch Ratings, or equivalently rated by any nationally recognized statistical rating organization, or, if unrated, deemed to be of similar quality by Dodge &amp; Cox.
1/16/2020 Bought 4,851.275 shares @14.12 ($65,575 including a $75 transaction fee)</t>
        </r>
      </text>
    </comment>
    <comment ref="A52" authorId="0" shapeId="0" xr:uid="{FD60BDAE-51E4-4D36-9379-15D2E05A7A8E}">
      <text>
        <r>
          <rPr>
            <b/>
            <sz val="11"/>
            <color indexed="81"/>
            <rFont val="Tahoma"/>
            <family val="2"/>
          </rPr>
          <t>Rob:</t>
        </r>
        <r>
          <rPr>
            <sz val="11"/>
            <color indexed="81"/>
            <rFont val="Tahoma"/>
            <family val="2"/>
          </rPr>
          <t xml:space="preserve">
Fidelity New Markes Income
Seeks income in Emerging Markets</t>
        </r>
      </text>
    </comment>
    <comment ref="A53" authorId="1" shapeId="0" xr:uid="{DEED7775-E373-4D62-BCDA-7DFC7D02FAFE}">
      <text>
        <r>
          <rPr>
            <b/>
            <sz val="9"/>
            <color indexed="81"/>
            <rFont val="Tahoma"/>
            <family val="2"/>
          </rPr>
          <t>Rob Squire:</t>
        </r>
        <r>
          <rPr>
            <sz val="9"/>
            <color indexed="81"/>
            <rFont val="Tahoma"/>
            <family val="2"/>
          </rPr>
          <t xml:space="preserve">
Fidelity Short Term Bond Fund</t>
        </r>
      </text>
    </comment>
    <comment ref="A54" authorId="1" shapeId="0" xr:uid="{285599F2-F703-4C80-ACCF-FA907F463110}">
      <text>
        <r>
          <rPr>
            <b/>
            <sz val="9"/>
            <color indexed="81"/>
            <rFont val="Tahoma"/>
            <family val="2"/>
          </rPr>
          <t>Rob Squire:</t>
        </r>
        <r>
          <rPr>
            <sz val="9"/>
            <color indexed="81"/>
            <rFont val="Tahoma"/>
            <family val="2"/>
          </rPr>
          <t xml:space="preserve">
Fidelity Total Bond Fund
Normally investing at least 80% of assets in debt securities of all types and repurchase agreements for those securities. Using the Bloomberg Barclays U.S. Universal Bond Index as a guide in allocating assets across the investment-grade, high yield, and emerging market asset classes. Investing up to 20% of assets in lower-quality debt securities.
1/14/2020 Bought 1,185.05 shares @ 10.97 ($13,000)</t>
        </r>
      </text>
    </comment>
    <comment ref="A55" authorId="0" shapeId="0" xr:uid="{FA4165BE-B786-4D83-814E-6A001E434E30}">
      <text>
        <r>
          <rPr>
            <b/>
            <sz val="11"/>
            <color indexed="81"/>
            <rFont val="Tahoma"/>
            <family val="2"/>
          </rPr>
          <t>Rob:</t>
        </r>
        <r>
          <rPr>
            <sz val="11"/>
            <color indexed="81"/>
            <rFont val="Tahoma"/>
            <family val="2"/>
          </rPr>
          <t xml:space="preserve">
Fidelity Total Bond Fund
Invests in investment grade, high yield and emerging mkts bonds</t>
        </r>
      </text>
    </comment>
    <comment ref="A56" authorId="1" shapeId="0" xr:uid="{114A8E4D-AC85-47E9-9546-2F8317DDE3BB}">
      <text>
        <r>
          <rPr>
            <b/>
            <sz val="9"/>
            <color indexed="81"/>
            <rFont val="Tahoma"/>
            <family val="2"/>
          </rPr>
          <t>Rob Squire:</t>
        </r>
        <r>
          <rPr>
            <sz val="9"/>
            <color indexed="81"/>
            <rFont val="Tahoma"/>
            <family val="2"/>
          </rPr>
          <t xml:space="preserve">
Fidelity Zero Int'l Index</t>
        </r>
      </text>
    </comment>
    <comment ref="A57" authorId="1" shapeId="0" xr:uid="{F3F7705C-9D9D-48FC-B226-C542FBA39DF0}">
      <text>
        <r>
          <rPr>
            <b/>
            <sz val="9"/>
            <color indexed="81"/>
            <rFont val="Tahoma"/>
            <family val="2"/>
          </rPr>
          <t>Rob Squire:</t>
        </r>
        <r>
          <rPr>
            <sz val="9"/>
            <color indexed="81"/>
            <rFont val="Tahoma"/>
            <family val="2"/>
          </rPr>
          <t xml:space="preserve">
Fidelity Zero Total Market Index (US)</t>
        </r>
      </text>
    </comment>
    <comment ref="A62" authorId="0" shapeId="0" xr:uid="{F6CC95C8-4F92-4521-B396-CCBC13CF6C9D}">
      <text>
        <r>
          <rPr>
            <b/>
            <sz val="11"/>
            <color indexed="81"/>
            <rFont val="Tahoma"/>
            <family val="2"/>
          </rPr>
          <t>Rob:</t>
        </r>
        <r>
          <rPr>
            <sz val="11"/>
            <color indexed="81"/>
            <rFont val="Tahoma"/>
            <family val="2"/>
          </rPr>
          <t xml:space="preserve">
Invests in bonds principally in developed mkts</t>
        </r>
      </text>
    </comment>
    <comment ref="A64" authorId="1" shapeId="0" xr:uid="{7867F8ED-2353-4B50-9E91-DC55C94B5A09}">
      <text>
        <r>
          <rPr>
            <b/>
            <sz val="9"/>
            <color indexed="81"/>
            <rFont val="Tahoma"/>
            <family val="2"/>
          </rPr>
          <t>Rob Squire:</t>
        </r>
        <r>
          <rPr>
            <sz val="9"/>
            <color indexed="81"/>
            <rFont val="Tahoma"/>
            <family val="2"/>
          </rPr>
          <t xml:space="preserve">
Home Depot</t>
        </r>
      </text>
    </comment>
    <comment ref="A66" authorId="1" shapeId="0" xr:uid="{E1887343-EF3F-4ED2-800E-F84C60D261A1}">
      <text>
        <r>
          <rPr>
            <b/>
            <sz val="9"/>
            <color indexed="81"/>
            <rFont val="Tahoma"/>
            <family val="2"/>
          </rPr>
          <t>Rob Squire:</t>
        </r>
        <r>
          <rPr>
            <sz val="9"/>
            <color indexed="81"/>
            <rFont val="Tahoma"/>
            <family val="2"/>
          </rPr>
          <t xml:space="preserve">
ISHARES Trust Convertible Bond ETF</t>
        </r>
      </text>
    </comment>
    <comment ref="A67" authorId="0" shapeId="0" xr:uid="{30F1BB91-F352-41D8-B586-7E48E3FA3E42}">
      <text>
        <r>
          <rPr>
            <b/>
            <sz val="9"/>
            <color indexed="81"/>
            <rFont val="Tahoma"/>
            <family val="2"/>
          </rPr>
          <t>Rob:</t>
        </r>
        <r>
          <rPr>
            <sz val="9"/>
            <color indexed="81"/>
            <rFont val="Tahoma"/>
            <family val="2"/>
          </rPr>
          <t xml:space="preserve">
ISHARES Mid Cap ETF</t>
        </r>
      </text>
    </comment>
    <comment ref="A73" authorId="1" shapeId="0" xr:uid="{A54B460D-D2C1-46C4-A778-0007AF58A46E}">
      <text>
        <r>
          <rPr>
            <b/>
            <sz val="9"/>
            <color indexed="81"/>
            <rFont val="Tahoma"/>
            <family val="2"/>
          </rPr>
          <t>Rob Squire:</t>
        </r>
        <r>
          <rPr>
            <sz val="9"/>
            <color indexed="81"/>
            <rFont val="Tahoma"/>
            <family val="2"/>
          </rPr>
          <t xml:space="preserve">
Phillip Morris</t>
        </r>
      </text>
    </comment>
    <comment ref="A75" authorId="1" shapeId="0" xr:uid="{4B77DE09-4717-45FD-A6CD-3F27076177C1}">
      <text>
        <r>
          <rPr>
            <b/>
            <sz val="9"/>
            <color indexed="81"/>
            <rFont val="Tahoma"/>
            <family val="2"/>
          </rPr>
          <t>Rob Squire:</t>
        </r>
        <r>
          <rPr>
            <sz val="9"/>
            <color indexed="81"/>
            <rFont val="Tahoma"/>
            <family val="2"/>
          </rPr>
          <t xml:space="preserve">
Norwegian Cruise Lines</t>
        </r>
      </text>
    </comment>
    <comment ref="A80" authorId="0" shapeId="0" xr:uid="{7E99A43D-497D-41B9-9CFE-EB0293BDE923}">
      <text>
        <r>
          <rPr>
            <b/>
            <sz val="11"/>
            <color indexed="81"/>
            <rFont val="Tahoma"/>
            <family val="2"/>
          </rPr>
          <t>Rob:</t>
        </r>
        <r>
          <rPr>
            <sz val="11"/>
            <color indexed="81"/>
            <rFont val="Tahoma"/>
            <family val="2"/>
          </rPr>
          <t xml:space="preserve">
Seeks income through various income instruments</t>
        </r>
      </text>
    </comment>
    <comment ref="A82" authorId="0" shapeId="0" xr:uid="{CB0ABEE6-FDE2-476A-86E9-1FD0F8B4E12E}">
      <text>
        <r>
          <rPr>
            <b/>
            <sz val="9"/>
            <color indexed="81"/>
            <rFont val="Tahoma"/>
            <family val="2"/>
          </rPr>
          <t>Rob:</t>
        </r>
        <r>
          <rPr>
            <sz val="9"/>
            <color indexed="81"/>
            <rFont val="Tahoma"/>
            <family val="2"/>
          </rPr>
          <t xml:space="preserve">
Thompson Bond Fund</t>
        </r>
      </text>
    </comment>
    <comment ref="A83" authorId="1" shapeId="0" xr:uid="{CCF63C40-42B9-4ABD-A56B-A5C47B787621}">
      <text>
        <r>
          <rPr>
            <b/>
            <sz val="9"/>
            <color indexed="81"/>
            <rFont val="Tahoma"/>
            <family val="2"/>
          </rPr>
          <t>Rob Squire:</t>
        </r>
        <r>
          <rPr>
            <sz val="9"/>
            <color indexed="81"/>
            <rFont val="Tahoma"/>
            <family val="2"/>
          </rPr>
          <t xml:space="preserve">
Trowe Price Ultra Short Bond Fund</t>
        </r>
      </text>
    </comment>
    <comment ref="A84" authorId="1" shapeId="0" xr:uid="{9247CED7-FD74-4919-BA92-A7A378086EF8}">
      <text>
        <r>
          <rPr>
            <b/>
            <sz val="9"/>
            <color indexed="81"/>
            <rFont val="Tahoma"/>
            <family val="2"/>
          </rPr>
          <t>Rob Squire:</t>
        </r>
        <r>
          <rPr>
            <sz val="9"/>
            <color indexed="81"/>
            <rFont val="Tahoma"/>
            <family val="2"/>
          </rPr>
          <t xml:space="preserve">
United Airlines</t>
        </r>
      </text>
    </comment>
    <comment ref="A86" authorId="1" shapeId="0" xr:uid="{C87D0BFD-A435-43CE-AF86-609B34FC747F}">
      <text>
        <r>
          <rPr>
            <b/>
            <sz val="9"/>
            <color indexed="81"/>
            <rFont val="Tahoma"/>
            <family val="2"/>
          </rPr>
          <t>Rob Squire:</t>
        </r>
        <r>
          <rPr>
            <sz val="9"/>
            <color indexed="81"/>
            <rFont val="Tahoma"/>
            <family val="2"/>
          </rPr>
          <t xml:space="preserve">
United Health Group</t>
        </r>
      </text>
    </comment>
    <comment ref="A91" authorId="1" shapeId="0" xr:uid="{80907C85-C5E4-461B-B54F-F7D5603FD00B}">
      <text>
        <r>
          <rPr>
            <b/>
            <sz val="9"/>
            <color indexed="81"/>
            <rFont val="Tahoma"/>
            <family val="2"/>
          </rPr>
          <t>Rob Squire:</t>
        </r>
        <r>
          <rPr>
            <sz val="9"/>
            <color indexed="81"/>
            <rFont val="Tahoma"/>
            <family val="2"/>
          </rPr>
          <t xml:space="preserve">
Vanguard Tax Managed Intl F FTSE Dev Mkt ETF</t>
        </r>
      </text>
    </comment>
    <comment ref="A95" authorId="0" shapeId="0" xr:uid="{597E16BB-49D4-4D62-A7EB-055CDAFD2EE2}">
      <text>
        <r>
          <rPr>
            <b/>
            <sz val="9"/>
            <color indexed="81"/>
            <rFont val="Tahoma"/>
            <family val="2"/>
          </rPr>
          <t>Rob:</t>
        </r>
        <r>
          <rPr>
            <sz val="9"/>
            <color indexed="81"/>
            <rFont val="Tahoma"/>
            <family val="2"/>
          </rPr>
          <t xml:space="preserve">
Vanguard REIT ETF</t>
        </r>
      </text>
    </comment>
    <comment ref="A98" authorId="0" shapeId="0" xr:uid="{1C5F79EA-3A8C-40EB-A48C-C073A9E6A0D5}">
      <text>
        <r>
          <rPr>
            <b/>
            <sz val="9"/>
            <color indexed="81"/>
            <rFont val="Tahoma"/>
            <family val="2"/>
          </rPr>
          <t>Rob:</t>
        </r>
        <r>
          <rPr>
            <sz val="9"/>
            <color indexed="81"/>
            <rFont val="Tahoma"/>
            <family val="2"/>
          </rPr>
          <t xml:space="preserve">
Wells Fargo preferred stock</t>
        </r>
      </text>
    </comment>
    <comment ref="A99" authorId="1" shapeId="0" xr:uid="{EE70E20F-C692-4FD0-80C3-C01C704CF7C5}">
      <text>
        <r>
          <rPr>
            <b/>
            <sz val="9"/>
            <color indexed="81"/>
            <rFont val="Tahoma"/>
            <family val="2"/>
          </rPr>
          <t>Rob Squire:</t>
        </r>
        <r>
          <rPr>
            <sz val="9"/>
            <color indexed="81"/>
            <rFont val="Tahoma"/>
            <family val="2"/>
          </rPr>
          <t xml:space="preserve">
Waste Management</t>
        </r>
      </text>
    </comment>
    <comment ref="A107" authorId="2" shapeId="0" xr:uid="{F37776BD-A444-464A-8BC7-26EC1F639312}">
      <text>
        <t>[Threaded comment]
Your version of Excel allows you to read this threaded comment; however, any edits to it will get removed if the file is opened in a newer version of Excel. Learn more: https://go.microsoft.com/fwlink/?linkid=870924
Comment:
    ISHARES Core Aggregate Bond ETF</t>
      </text>
    </comment>
    <comment ref="A108" authorId="1" shapeId="0" xr:uid="{D0070967-8685-4043-B7E5-4516F63F45AC}">
      <text>
        <r>
          <rPr>
            <b/>
            <sz val="9"/>
            <color indexed="81"/>
            <rFont val="Tahoma"/>
            <family val="2"/>
          </rPr>
          <t>Rob Squire:</t>
        </r>
        <r>
          <rPr>
            <sz val="9"/>
            <color indexed="81"/>
            <rFont val="Tahoma"/>
            <family val="2"/>
          </rPr>
          <t xml:space="preserve">
Vanguard Int Term Bond ETF</t>
        </r>
      </text>
    </comment>
    <comment ref="A111" authorId="1" shapeId="0" xr:uid="{BAF2157F-3494-421F-89C3-50580F71AF83}">
      <text>
        <r>
          <rPr>
            <b/>
            <sz val="9"/>
            <color indexed="81"/>
            <rFont val="Tahoma"/>
            <family val="2"/>
          </rPr>
          <t>Rob Squire:</t>
        </r>
        <r>
          <rPr>
            <sz val="9"/>
            <color indexed="81"/>
            <rFont val="Tahoma"/>
            <family val="2"/>
          </rPr>
          <t xml:space="preserve">
Fidelity Long Term Treasury Bond Index</t>
        </r>
      </text>
    </comment>
    <comment ref="A113" authorId="1" shapeId="0" xr:uid="{F581197C-EB71-4ABD-A58C-160EFD1C914F}">
      <text>
        <r>
          <rPr>
            <b/>
            <sz val="9"/>
            <color indexed="81"/>
            <rFont val="Tahoma"/>
            <family val="2"/>
          </rPr>
          <t>Rob Squire:</t>
        </r>
        <r>
          <rPr>
            <sz val="9"/>
            <color indexed="81"/>
            <rFont val="Tahoma"/>
            <family val="2"/>
          </rPr>
          <t xml:space="preserve">
Fidelity Int Term Treasury Bond Fund</t>
        </r>
      </text>
    </comment>
    <comment ref="A121" authorId="1" shapeId="0" xr:uid="{95574BDF-C134-4138-9481-2CF528BD0848}">
      <text>
        <r>
          <rPr>
            <b/>
            <sz val="9"/>
            <color indexed="81"/>
            <rFont val="Tahoma"/>
            <family val="2"/>
          </rPr>
          <t>Rob Squire:</t>
        </r>
        <r>
          <rPr>
            <sz val="9"/>
            <color indexed="81"/>
            <rFont val="Tahoma"/>
            <family val="2"/>
          </rPr>
          <t xml:space="preserve">
Vanguard Int Term Corporate bond ETF</t>
        </r>
      </text>
    </comment>
    <comment ref="A122" authorId="1" shapeId="0" xr:uid="{0F81810C-7E48-4A8C-AB1D-26A5E34D2CC6}">
      <text>
        <r>
          <rPr>
            <b/>
            <sz val="9"/>
            <color indexed="81"/>
            <rFont val="Tahoma"/>
            <family val="2"/>
          </rPr>
          <t>Rob Squire:</t>
        </r>
        <r>
          <rPr>
            <sz val="9"/>
            <color indexed="81"/>
            <rFont val="Tahoma"/>
            <family val="2"/>
          </rPr>
          <t xml:space="preserve">
Vanguard Scottsdale FDS Long Term Corp Bonc IDX Fund</t>
        </r>
      </text>
    </comment>
    <comment ref="A124" authorId="1" shapeId="0" xr:uid="{9C781AAB-E7A4-4153-9A33-7E5829D4614E}">
      <text>
        <r>
          <rPr>
            <b/>
            <sz val="9"/>
            <color indexed="81"/>
            <rFont val="Tahoma"/>
            <family val="2"/>
          </rPr>
          <t>Rob Squire:</t>
        </r>
        <r>
          <rPr>
            <sz val="9"/>
            <color indexed="81"/>
            <rFont val="Tahoma"/>
            <family val="2"/>
          </rPr>
          <t xml:space="preserve">
Vanguard Short Term Corporatee Bond IDX Fund</t>
        </r>
      </text>
    </comment>
    <comment ref="A139" authorId="1" shapeId="0" xr:uid="{B8E2D2B0-9C9A-4B4D-9ABC-96D5DB739016}">
      <text>
        <r>
          <rPr>
            <b/>
            <sz val="9"/>
            <color indexed="81"/>
            <rFont val="Tahoma"/>
            <family val="2"/>
          </rPr>
          <t>Rob Squire:</t>
        </r>
        <r>
          <rPr>
            <sz val="9"/>
            <color indexed="81"/>
            <rFont val="Tahoma"/>
            <family val="2"/>
          </rPr>
          <t xml:space="preserve">
The fund may invest up to 60% of its assets in equity securities and up to 100% of its assets in fixed income securities. It may also gain exposure to such equity securities and fixed-income securities by investing in BlackRock equity and/or fixed income mutual funds ("underlying funds") and affiliated and unaffiliated ETFs. The fund may also invest up to 15% of its assets in collateralized debt obligations ("CDOs"), including collateralized loan obligations ("CLOs").
1/14/2020 Bought 2,497.738 shares @ 11.05 ($27,600)</t>
        </r>
      </text>
    </comment>
    <comment ref="A140" authorId="0" shapeId="0" xr:uid="{7D7811A3-2569-4E5D-B427-73A7894BA1CC}">
      <text>
        <r>
          <rPr>
            <b/>
            <sz val="9"/>
            <color indexed="81"/>
            <rFont val="Tahoma"/>
            <family val="2"/>
          </rPr>
          <t>Rob:</t>
        </r>
        <r>
          <rPr>
            <sz val="9"/>
            <color indexed="81"/>
            <rFont val="Tahoma"/>
            <family val="2"/>
          </rPr>
          <t xml:space="preserve">
Dreihaus Emerging Markets</t>
        </r>
      </text>
    </comment>
    <comment ref="A141" authorId="1" shapeId="0" xr:uid="{1CCA711D-F017-43CE-8753-953B38CC2A45}">
      <text>
        <r>
          <rPr>
            <b/>
            <sz val="9"/>
            <color indexed="81"/>
            <rFont val="Tahoma"/>
            <family val="2"/>
          </rPr>
          <t>Rob Squire:</t>
        </r>
        <r>
          <rPr>
            <sz val="9"/>
            <color indexed="81"/>
            <rFont val="Tahoma"/>
            <family val="2"/>
          </rPr>
          <t xml:space="preserve">
Fidelity Short Term Bond Fund</t>
        </r>
      </text>
    </comment>
    <comment ref="A142" authorId="0" shapeId="0" xr:uid="{AA839B76-CC28-49E4-9541-B67944F8EADA}">
      <text>
        <r>
          <rPr>
            <b/>
            <sz val="9"/>
            <color indexed="81"/>
            <rFont val="Tahoma"/>
            <family val="2"/>
          </rPr>
          <t>Rob:</t>
        </r>
        <r>
          <rPr>
            <sz val="9"/>
            <color indexed="81"/>
            <rFont val="Tahoma"/>
            <family val="2"/>
          </rPr>
          <t xml:space="preserve">
Harding Loevner Emerging Markets</t>
        </r>
      </text>
    </comment>
    <comment ref="A145" authorId="0" shapeId="0" xr:uid="{E20F17CF-3712-496A-AE73-44DCB0701784}">
      <text>
        <r>
          <rPr>
            <b/>
            <sz val="9"/>
            <color indexed="81"/>
            <rFont val="Tahoma"/>
            <family val="2"/>
          </rPr>
          <t>Rob:</t>
        </r>
        <r>
          <rPr>
            <sz val="9"/>
            <color indexed="81"/>
            <rFont val="Tahoma"/>
            <family val="2"/>
          </rPr>
          <t xml:space="preserve">
Oakmark International Fund Investor Class
Fund invests primarily in common stocks of non-US companies.  It may invest in emerging markets, but generally invests in developed markets.
Composition is mostly large cap companies.  
Geographical distribution is: 40% Eurozone, 23% UK, 18% ex Euro Europe, 6% Japan</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<sst xmlns="http://schemas.openxmlformats.org/spreadsheetml/2006/main" count="3355" uniqueCount="759">
  <si>
    <t>Joint</t>
  </si>
  <si>
    <t>*</t>
  </si>
  <si>
    <t>Self - 6077</t>
  </si>
  <si>
    <t>Mgd eq - 3177</t>
  </si>
  <si>
    <t>Rob's IRA</t>
  </si>
  <si>
    <t>Self - 2044</t>
  </si>
  <si>
    <t>Mgd Eq - 0965</t>
  </si>
  <si>
    <t>Mgd Bd - 0426</t>
  </si>
  <si>
    <t>Kath's IRA</t>
  </si>
  <si>
    <t>Mgd BD - 5864</t>
  </si>
  <si>
    <t>Joint - Con …6077</t>
  </si>
  <si>
    <t>Rob's IRA - Agg...2044</t>
  </si>
  <si>
    <t>Rob's IRA - Con …3107</t>
  </si>
  <si>
    <t>Kath's IRA - Con …3374</t>
  </si>
  <si>
    <t>Joint Managed - Equities …3177</t>
  </si>
  <si>
    <t>Rob's IRA Managed - Equities - …0965</t>
  </si>
  <si>
    <t>Rob's IRA Managed - Bonds …0426</t>
  </si>
  <si>
    <t>Kath's IRA Managed - Bonds - …5864</t>
  </si>
  <si>
    <t>Inherited IRA - Joyce - …3632</t>
  </si>
  <si>
    <t>Self Managed Accounts</t>
  </si>
  <si>
    <t>GGS Managed Accounts</t>
  </si>
  <si>
    <t>Equity Oriented Accounts</t>
  </si>
  <si>
    <t>Bond Oriented Accounts</t>
  </si>
  <si>
    <t>Total  of all accounts</t>
  </si>
  <si>
    <t>Xfer out of funds</t>
  </si>
  <si>
    <t>With Xfer'ed Out Funds</t>
  </si>
  <si>
    <t>Account</t>
  </si>
  <si>
    <t>Joint - Con</t>
  </si>
  <si>
    <t>Rob's IRA - Agg</t>
  </si>
  <si>
    <t>Rob's IRA - Con</t>
  </si>
  <si>
    <t>Kath's IRA - Con</t>
  </si>
  <si>
    <t>Date</t>
  </si>
  <si>
    <t>Action</t>
  </si>
  <si>
    <t>SPAXX**</t>
  </si>
  <si>
    <t>F - sold</t>
  </si>
  <si>
    <t>FNBGX</t>
  </si>
  <si>
    <t>FTEXX - sold</t>
  </si>
  <si>
    <t>FTBFX - sold</t>
  </si>
  <si>
    <t>GE</t>
  </si>
  <si>
    <t>IEFA</t>
  </si>
  <si>
    <t>IEMG</t>
  </si>
  <si>
    <t>IJR</t>
  </si>
  <si>
    <t>JPM</t>
  </si>
  <si>
    <t>MSFT</t>
  </si>
  <si>
    <t>OTIS - sold</t>
  </si>
  <si>
    <t>PONDX - sold</t>
  </si>
  <si>
    <t>THOPX - sold</t>
  </si>
  <si>
    <t>TSM</t>
  </si>
  <si>
    <t>HLEMX - sold</t>
  </si>
  <si>
    <t>VEA</t>
  </si>
  <si>
    <t>VSS</t>
  </si>
  <si>
    <t>WTCOX - sold</t>
  </si>
  <si>
    <t>VWEHX - sold</t>
  </si>
  <si>
    <t>VWESX</t>
  </si>
  <si>
    <t xml:space="preserve">Date </t>
  </si>
  <si>
    <t>Amt</t>
  </si>
  <si>
    <t>% change from last month</t>
  </si>
  <si>
    <t>Total</t>
  </si>
  <si>
    <t>FDRXX**</t>
  </si>
  <si>
    <t>Bond Ladder - sold</t>
  </si>
  <si>
    <t>Treasury Notes</t>
  </si>
  <si>
    <t>AAPL</t>
  </si>
  <si>
    <t>ABBV</t>
  </si>
  <si>
    <t>AMZN</t>
  </si>
  <si>
    <t>AXP</t>
  </si>
  <si>
    <t>AZO</t>
  </si>
  <si>
    <t>BABA - sold</t>
  </si>
  <si>
    <t>BACPRL</t>
  </si>
  <si>
    <t>BX - sold</t>
  </si>
  <si>
    <t>CG</t>
  </si>
  <si>
    <t>CRH</t>
  </si>
  <si>
    <t>CVX</t>
  </si>
  <si>
    <t>CWB - sold</t>
  </si>
  <si>
    <t>DAL - sold</t>
  </si>
  <si>
    <t>DODIX - sold</t>
  </si>
  <si>
    <t>EFAV</t>
  </si>
  <si>
    <t>FLUT</t>
  </si>
  <si>
    <t>FNMIX - sold</t>
  </si>
  <si>
    <t>FSHBX - sold</t>
  </si>
  <si>
    <t>FZILX</t>
  </si>
  <si>
    <t>FZROX</t>
  </si>
  <si>
    <t>GOOGL</t>
  </si>
  <si>
    <t>GS</t>
  </si>
  <si>
    <t>GSPRD</t>
  </si>
  <si>
    <t>GIBLX - sold</t>
  </si>
  <si>
    <t>HCA</t>
  </si>
  <si>
    <t>HD</t>
  </si>
  <si>
    <t>HI - sold</t>
  </si>
  <si>
    <t>ICVT - sold</t>
  </si>
  <si>
    <t>IJH</t>
  </si>
  <si>
    <t>JIRE</t>
  </si>
  <si>
    <t>JNJ - sold</t>
  </si>
  <si>
    <t>KO - sold</t>
  </si>
  <si>
    <t>MCHI</t>
  </si>
  <si>
    <t>MO - sold</t>
  </si>
  <si>
    <t>NCLH - sold</t>
  </si>
  <si>
    <t>NFLX - sold</t>
  </si>
  <si>
    <t>PEG - sold</t>
  </si>
  <si>
    <t>PG - sold</t>
  </si>
  <si>
    <t>PPL</t>
  </si>
  <si>
    <t>PONDX - sold
PONAX</t>
  </si>
  <si>
    <t>RTX - sold</t>
  </si>
  <si>
    <t>TRBUX - sold</t>
  </si>
  <si>
    <t>UAL - sold</t>
  </si>
  <si>
    <t>UBER</t>
  </si>
  <si>
    <t>UNH - sold</t>
  </si>
  <si>
    <t>UTHR</t>
  </si>
  <si>
    <t>VAW - sold</t>
  </si>
  <si>
    <t>VDC - sold</t>
  </si>
  <si>
    <t>VDE - sold</t>
  </si>
  <si>
    <t>VHT - sold</t>
  </si>
  <si>
    <t>VIK</t>
  </si>
  <si>
    <t>VIS - sold</t>
  </si>
  <si>
    <t>VNQ</t>
  </si>
  <si>
    <t>VPU - sold</t>
  </si>
  <si>
    <t>VRTX - sold</t>
  </si>
  <si>
    <t>WFCPRL</t>
  </si>
  <si>
    <t>WM</t>
  </si>
  <si>
    <t>ZM - sold</t>
  </si>
  <si>
    <t>AGG</t>
  </si>
  <si>
    <t>BIV</t>
  </si>
  <si>
    <t>BND</t>
  </si>
  <si>
    <t>FBND</t>
  </si>
  <si>
    <t>FTBFX</t>
  </si>
  <si>
    <t>FUAMX</t>
  </si>
  <si>
    <t>ICSH</t>
  </si>
  <si>
    <t>JPST</t>
  </si>
  <si>
    <t>MBB</t>
  </si>
  <si>
    <t>SCHO</t>
  </si>
  <si>
    <t>SCHQ</t>
  </si>
  <si>
    <t>SCHR</t>
  </si>
  <si>
    <t>STIP</t>
  </si>
  <si>
    <t>VCIT</t>
  </si>
  <si>
    <t>VCLT</t>
  </si>
  <si>
    <t>VCRB</t>
  </si>
  <si>
    <t>VCSH</t>
  </si>
  <si>
    <t>BAICX - sold</t>
  </si>
  <si>
    <t>DREGX - sold</t>
  </si>
  <si>
    <t>IGIB</t>
  </si>
  <si>
    <t>IGSB</t>
  </si>
  <si>
    <t>OAKIX - sold</t>
  </si>
  <si>
    <t>Fidelity U.S. Tot Investable Mkt Idx</t>
  </si>
  <si>
    <t>Bloomberg US Aggregate Bond Idx</t>
  </si>
  <si>
    <t>Total Portfolio</t>
  </si>
  <si>
    <r>
      <rPr>
        <strike/>
        <u/>
        <sz val="11"/>
        <rFont val="Calibri"/>
        <family val="2"/>
        <scheme val="minor"/>
      </rPr>
      <t>SPAXX</t>
    </r>
    <r>
      <rPr>
        <u/>
        <sz val="11"/>
        <rFont val="Calibri"/>
        <family val="2"/>
        <scheme val="minor"/>
      </rPr>
      <t xml:space="preserve">
FDRXX</t>
    </r>
  </si>
  <si>
    <t>AAPL - sold</t>
  </si>
  <si>
    <t>AEE - sold</t>
  </si>
  <si>
    <t>AET - sold</t>
  </si>
  <si>
    <t>ALK - sold</t>
  </si>
  <si>
    <t>AMZN - sold</t>
  </si>
  <si>
    <t>APD - sold</t>
  </si>
  <si>
    <t>C - sold</t>
  </si>
  <si>
    <t>CERN - sold</t>
  </si>
  <si>
    <t>COST - sold</t>
  </si>
  <si>
    <t>CSCO - sold</t>
  </si>
  <si>
    <t>CTSH - sold</t>
  </si>
  <si>
    <t>CVS - sold</t>
  </si>
  <si>
    <t>D - sold</t>
  </si>
  <si>
    <t>DFS - sold</t>
  </si>
  <si>
    <t>DIS - sold</t>
  </si>
  <si>
    <t>FB - sold</t>
  </si>
  <si>
    <t>FDX - sold</t>
  </si>
  <si>
    <t>GD - sold</t>
  </si>
  <si>
    <t>GOOG - sold</t>
  </si>
  <si>
    <t>IJH - sold</t>
  </si>
  <si>
    <t>JPIN - sold</t>
  </si>
  <si>
    <t>LOW - sold</t>
  </si>
  <si>
    <t>MA - sold</t>
  </si>
  <si>
    <t>MCK - sold</t>
  </si>
  <si>
    <t>NSRGY - sold</t>
  </si>
  <si>
    <t>ORCL - sold</t>
  </si>
  <si>
    <t>OTIS</t>
  </si>
  <si>
    <t>PEP - sold</t>
  </si>
  <si>
    <t>PM - sold</t>
  </si>
  <si>
    <t>PPL - sold</t>
  </si>
  <si>
    <t>RHHBY - sold</t>
  </si>
  <si>
    <t>SBUX - sold</t>
  </si>
  <si>
    <t>SIEGY - sold</t>
  </si>
  <si>
    <t>SYY - sold</t>
  </si>
  <si>
    <t>UNP - sold</t>
  </si>
  <si>
    <t>UPS - sold</t>
  </si>
  <si>
    <t>VLO - sold</t>
  </si>
  <si>
    <t>VWO - sold</t>
  </si>
  <si>
    <t>VZ - sold</t>
  </si>
  <si>
    <t>WM - sold</t>
  </si>
  <si>
    <t>APD</t>
  </si>
  <si>
    <t>ASML</t>
  </si>
  <si>
    <t>BAC</t>
  </si>
  <si>
    <t>BCE</t>
  </si>
  <si>
    <t>BFB</t>
  </si>
  <si>
    <t>BK</t>
  </si>
  <si>
    <t>BX</t>
  </si>
  <si>
    <t>CERN</t>
  </si>
  <si>
    <t>COST</t>
  </si>
  <si>
    <t>CPB</t>
  </si>
  <si>
    <t>CPRT</t>
  </si>
  <si>
    <t>CSCO</t>
  </si>
  <si>
    <t>CTSH</t>
  </si>
  <si>
    <t>DGX</t>
  </si>
  <si>
    <t>DIS</t>
  </si>
  <si>
    <t>EA</t>
  </si>
  <si>
    <t>EBAY</t>
  </si>
  <si>
    <t>EOG</t>
  </si>
  <si>
    <r>
      <rPr>
        <strike/>
        <u/>
        <sz val="8"/>
        <rFont val="Calibri"/>
        <family val="2"/>
        <scheme val="minor"/>
      </rPr>
      <t>FB</t>
    </r>
    <r>
      <rPr>
        <u/>
        <sz val="8"/>
        <rFont val="Calibri"/>
        <family val="2"/>
        <scheme val="minor"/>
      </rPr>
      <t xml:space="preserve"> now META</t>
    </r>
  </si>
  <si>
    <t>GD</t>
  </si>
  <si>
    <t>GEHC</t>
  </si>
  <si>
    <t>HON</t>
  </si>
  <si>
    <t>INTC</t>
  </si>
  <si>
    <t>IVV</t>
  </si>
  <si>
    <t>JNJ</t>
  </si>
  <si>
    <t>KMB</t>
  </si>
  <si>
    <t>KO</t>
  </si>
  <si>
    <t>LH</t>
  </si>
  <si>
    <t>LINE</t>
  </si>
  <si>
    <t>LMT</t>
  </si>
  <si>
    <t>LNTH</t>
  </si>
  <si>
    <t>LULU</t>
  </si>
  <si>
    <t>LYB</t>
  </si>
  <si>
    <t>MAT</t>
  </si>
  <si>
    <t>MCK</t>
  </si>
  <si>
    <t>MELI</t>
  </si>
  <si>
    <t>MMM</t>
  </si>
  <si>
    <t>MRK</t>
  </si>
  <si>
    <t>MTCH</t>
  </si>
  <si>
    <t>NKE</t>
  </si>
  <si>
    <t>NOV</t>
  </si>
  <si>
    <t>OGN</t>
  </si>
  <si>
    <t>ORCL</t>
  </si>
  <si>
    <t>PG</t>
  </si>
  <si>
    <t>SBUX</t>
  </si>
  <si>
    <t>SLB</t>
  </si>
  <si>
    <t>TFC</t>
  </si>
  <si>
    <t>UNH</t>
  </si>
  <si>
    <t>UNP</t>
  </si>
  <si>
    <t>UPS</t>
  </si>
  <si>
    <t>USB</t>
  </si>
  <si>
    <t>V</t>
  </si>
  <si>
    <t>VAW</t>
  </si>
  <si>
    <t>VDC</t>
  </si>
  <si>
    <t>VDE</t>
  </si>
  <si>
    <t>VHT</t>
  </si>
  <si>
    <t>VIS</t>
  </si>
  <si>
    <t>VLO</t>
  </si>
  <si>
    <t>VPU</t>
  </si>
  <si>
    <t>VRTX</t>
  </si>
  <si>
    <t>VZ</t>
  </si>
  <si>
    <t xml:space="preserve">WM - Rob's IRA Mngd - Eq </t>
  </si>
  <si>
    <t>XLE</t>
  </si>
  <si>
    <t>XLF</t>
  </si>
  <si>
    <t>XOM</t>
  </si>
  <si>
    <t>ZTS</t>
  </si>
  <si>
    <t>ZM</t>
  </si>
  <si>
    <t>FDRXX</t>
  </si>
  <si>
    <r>
      <rPr>
        <strike/>
        <u/>
        <sz val="11"/>
        <color theme="0" tint="-0.34998626667073579"/>
        <rFont val="Calibri"/>
        <family val="2"/>
        <scheme val="minor"/>
      </rPr>
      <t>JPHY</t>
    </r>
    <r>
      <rPr>
        <u/>
        <sz val="11"/>
        <rFont val="Calibri"/>
        <family val="2"/>
        <scheme val="minor"/>
      </rPr>
      <t xml:space="preserve">
BBHY</t>
    </r>
  </si>
  <si>
    <t>CWB</t>
  </si>
  <si>
    <t>FB</t>
  </si>
  <si>
    <t>FLRN</t>
  </si>
  <si>
    <t>FSHBX</t>
  </si>
  <si>
    <t>ICVT</t>
  </si>
  <si>
    <t>NSRGY</t>
  </si>
  <si>
    <t>PEG</t>
  </si>
  <si>
    <t>PM</t>
  </si>
  <si>
    <t>PNW</t>
  </si>
  <si>
    <t>RHHBY</t>
  </si>
  <si>
    <t>SHYG</t>
  </si>
  <si>
    <t>THOPX</t>
  </si>
  <si>
    <t>TRBUX</t>
  </si>
  <si>
    <t>VUSB</t>
  </si>
  <si>
    <t>VWO</t>
  </si>
  <si>
    <t>WEC</t>
  </si>
  <si>
    <t>WM - Rob's IRA Mgd - Bds</t>
  </si>
  <si>
    <t>BAICX</t>
  </si>
  <si>
    <t>DREGX</t>
  </si>
  <si>
    <t>HLEMX</t>
  </si>
  <si>
    <t>OAKIX</t>
  </si>
  <si>
    <t>SPAXX</t>
  </si>
  <si>
    <t>AMCPX</t>
  </si>
  <si>
    <t>AWSHX</t>
  </si>
  <si>
    <t>CAIBX</t>
  </si>
  <si>
    <t>CWBFX</t>
  </si>
  <si>
    <t>CWGIX</t>
  </si>
  <si>
    <t>Value</t>
  </si>
  <si>
    <t>Month change</t>
  </si>
  <si>
    <t>Total Funds Xfer'd Out Since Baseline</t>
  </si>
  <si>
    <t>Value adding back in Xfer'ed out funds</t>
  </si>
  <si>
    <t>Change from initial baseline</t>
  </si>
  <si>
    <t>Change from last month</t>
  </si>
  <si>
    <t>Change over last 12 months</t>
  </si>
  <si>
    <t>Max value to date</t>
  </si>
  <si>
    <t>Comparison to prev max</t>
  </si>
  <si>
    <t>Notes</t>
  </si>
  <si>
    <t>Initial baseline prior to GGS Management</t>
  </si>
  <si>
    <t>Xfer of funds to new managed accounts</t>
  </si>
  <si>
    <t>No changes - balances are as of 6/30/2017</t>
  </si>
  <si>
    <t>Initial changes to managed accounts</t>
  </si>
  <si>
    <t xml:space="preserve">No changes  </t>
  </si>
  <si>
    <t>Transferred residual shares to Managed (Rob's)A</t>
  </si>
  <si>
    <t>Transferred $20k to FirstBank</t>
  </si>
  <si>
    <t>Bought PONDX and GIBLX</t>
  </si>
  <si>
    <t>GGS bought Apple and Google</t>
  </si>
  <si>
    <t>GGS bought Lowes and Cognizant; xfer'ed out funds for living exp</t>
  </si>
  <si>
    <t>Bought Oracle</t>
  </si>
  <si>
    <t>Bought DFX &amp; PPL</t>
  </si>
  <si>
    <t>Bought AET, IEFA, IEMG, UNP</t>
  </si>
  <si>
    <t>Bought VNQ, IVV, IJH, IJR; Sold VDC, VHT, VIS</t>
  </si>
  <si>
    <t>Sold some THOPX, bought FNMIX, FTBFX and more GIBLX</t>
  </si>
  <si>
    <t>No changes</t>
  </si>
  <si>
    <t>Sold some VHT, VDE, VIS; buy DGX &amp; BCE</t>
  </si>
  <si>
    <t>Xfer of $s to FirstBank and from Kath's IRA</t>
  </si>
  <si>
    <t>Sold some THOPX to increase cash position</t>
  </si>
  <si>
    <t>Xfer of $s to Joint from Kath's IRA</t>
  </si>
  <si>
    <t>Sold some CSCO to raise cash;
Perf tax loss harvesting
  Sold all PPL
  Bought AEE</t>
  </si>
  <si>
    <t>Sold VHT to buy CERN</t>
  </si>
  <si>
    <t>Sold the emerging mkts fund and bought foreign developed mkts fund</t>
  </si>
  <si>
    <t>Sold NOV to buy VLO</t>
  </si>
  <si>
    <t>Sold some MA</t>
  </si>
  <si>
    <t>Swap IVV for XLF</t>
  </si>
  <si>
    <t>Sold some UNP</t>
  </si>
  <si>
    <t xml:space="preserve">Advisory fee </t>
  </si>
  <si>
    <t>Advisory Fee</t>
  </si>
  <si>
    <t>Sold some AAPL</t>
  </si>
  <si>
    <t>Sold som UNP</t>
  </si>
  <si>
    <t>Sold bond funds and added more short term bonds to ladder</t>
  </si>
  <si>
    <t>Sold  all VPU, bought USB</t>
  </si>
  <si>
    <t>Merger. Exchange AET for CVS; several other changes for tax loss harvesting</t>
  </si>
  <si>
    <t>Sold AEE, bought D, sold some LOW</t>
  </si>
  <si>
    <t>2/1/19 &amp; 
3/1/2019</t>
  </si>
  <si>
    <t>Sold CVS; bought MCK; sold some SBUX</t>
  </si>
  <si>
    <t>Sold some HLEMX</t>
  </si>
  <si>
    <t>Bought BMO Harris CD</t>
  </si>
  <si>
    <t>Sold FDX,some SYY.  Bought UPS</t>
  </si>
  <si>
    <t>Sold some DFS</t>
  </si>
  <si>
    <t>Sold some DIS, MRK,VDC; bought LYB</t>
  </si>
  <si>
    <t>Sold VDE; bought SLB</t>
  </si>
  <si>
    <t>Sold WTCOX</t>
  </si>
  <si>
    <t>Sold some LOW</t>
  </si>
  <si>
    <t>Sold CTSH, some LOW &amp; UPS, bought DAL</t>
  </si>
  <si>
    <t>Sold HLEMX</t>
  </si>
  <si>
    <t>Sold som AAPL</t>
  </si>
  <si>
    <t>Sold DIS, bought EBAY</t>
  </si>
  <si>
    <t>Bought FTBFX</t>
  </si>
  <si>
    <t>Bought FTBFX &amp; DODIX</t>
  </si>
  <si>
    <t>Sold some INTC, bought more LYB</t>
  </si>
  <si>
    <t>Sold HLEMX; Bought BAICX</t>
  </si>
  <si>
    <t>Xfered in from Edward Jones acct and sold all (see 2/12/2020 investment action for details); Sold $2k FTBFX</t>
  </si>
  <si>
    <t>Sold some GOOG 7 MA; xfered $7k to Mngd IRA; sold 75 VZ</t>
  </si>
  <si>
    <t>Xfrd in $7k from Mngd Joint, bought FB</t>
  </si>
  <si>
    <t>Transferred $7k for tax reasons</t>
  </si>
  <si>
    <t>Inherited IRA established; funded by xfer from Edward Jones IRA account</t>
  </si>
  <si>
    <t>Sold Delta, bought Alaska Air</t>
  </si>
  <si>
    <t>Sold bond funds</t>
  </si>
  <si>
    <t>3/12/2020 Sold all positions due to Corona Virus selloff</t>
  </si>
  <si>
    <t>Bought stocks that benefit from virus</t>
  </si>
  <si>
    <t>No Changes</t>
  </si>
  <si>
    <t>Reinivested in Mkt</t>
  </si>
  <si>
    <t>Reinvested in Mkt</t>
  </si>
  <si>
    <t>Total portfolio at Mkt close n 4/7/2020 was $1,275,574</t>
  </si>
  <si>
    <t>Sold all BABA, HI; bought MO,UNH, more RTX</t>
  </si>
  <si>
    <t>Sold some Valero and bought more Costco</t>
  </si>
  <si>
    <t>Sold some IVV</t>
  </si>
  <si>
    <t>Liquidated all equities</t>
  </si>
  <si>
    <t>Advisor fee</t>
  </si>
  <si>
    <t>Bought DAL, NCLH, UAL</t>
  </si>
  <si>
    <t>Reinvested remaining cash</t>
  </si>
  <si>
    <t>Back in the market</t>
  </si>
  <si>
    <t>11/9/20 Got back in mkt</t>
  </si>
  <si>
    <t>Invested remaining cash</t>
  </si>
  <si>
    <t>Bought more KMB</t>
  </si>
  <si>
    <t>Xferred in $75k from GGS Managed Joint</t>
  </si>
  <si>
    <t>Sold some FSHBX to raise cash,xferred out $75k</t>
  </si>
  <si>
    <t>Sold all COST,FB,GD,PEP. Sold some IJR. Xferred out $75k to Joint</t>
  </si>
  <si>
    <t>Xferred in $75k from Rob's IRA</t>
  </si>
  <si>
    <t>Moved to THOPX</t>
  </si>
  <si>
    <t>Xfer'd some funds out to new mngd acct</t>
  </si>
  <si>
    <t>Bought Visa</t>
  </si>
  <si>
    <t>Acct opened in May, 2021, for GGS management</t>
  </si>
  <si>
    <t>Began GGS management in May, 2021</t>
  </si>
  <si>
    <t>Reduced cash position</t>
  </si>
  <si>
    <t>Sold some Oracle</t>
  </si>
  <si>
    <t>Spinoff</t>
  </si>
  <si>
    <t>Added AGG</t>
  </si>
  <si>
    <t>Sold MRK &amp; OGN; bought ABBV</t>
  </si>
  <si>
    <t>Sold 5 IGIB</t>
  </si>
  <si>
    <t>Sold all NCLH</t>
  </si>
  <si>
    <t>Several changes</t>
  </si>
  <si>
    <t>Bought some EA; sold some GOOGL</t>
  </si>
  <si>
    <t>Sold PNW; bought WEC</t>
  </si>
  <si>
    <t>Bought more LMT</t>
  </si>
  <si>
    <t>Bond matured</t>
  </si>
  <si>
    <t>Sold all Oracle</t>
  </si>
  <si>
    <t>Sold all KMB</t>
  </si>
  <si>
    <t>Invested the $75k that I transferred to them; sold JNJ</t>
  </si>
  <si>
    <t>Bought more DAL &amp; UAL</t>
  </si>
  <si>
    <t>Sold all VZ, bought DIS</t>
  </si>
  <si>
    <t>Sold some IJR</t>
  </si>
  <si>
    <t>Sold some ABBV and DGX; bought BND</t>
  </si>
  <si>
    <t>Several actions</t>
  </si>
  <si>
    <t>GGS fired on 8/13/25</t>
  </si>
  <si>
    <t>Xferred positions from Joint Mgd - Equities to here</t>
  </si>
  <si>
    <t>Xferred positions from Rob's IRA Mgd - Equities and Rob's IRA Mgd - Bonds to here</t>
  </si>
  <si>
    <t>Account closed.  Positions xferred to Joint</t>
  </si>
  <si>
    <t>Account closed.  Positions xferred to Rob's IRA</t>
  </si>
  <si>
    <t>Opened Rob's IRA - Cons …3107; Xferred positions from Rob's IRA - Agg to Rob's IRA - Cons.  Also ,made various other xfers.</t>
  </si>
  <si>
    <t>Rebalanced port.</t>
  </si>
  <si>
    <t>Date of action</t>
  </si>
  <si>
    <t>Top Template</t>
  </si>
  <si>
    <t>Sale of</t>
  </si>
  <si>
    <t>Enter Smbl</t>
  </si>
  <si>
    <t>Date of Sale</t>
  </si>
  <si>
    <t>Prior to the sale</t>
  </si>
  <si>
    <t># of shares in account</t>
  </si>
  <si>
    <t>Enter #</t>
  </si>
  <si>
    <t>Cost basis per share</t>
  </si>
  <si>
    <t>This action</t>
  </si>
  <si>
    <t>Shares sold</t>
  </si>
  <si>
    <t>Price per share</t>
  </si>
  <si>
    <t>Principal amount</t>
  </si>
  <si>
    <t>Fees</t>
  </si>
  <si>
    <t>Total received</t>
  </si>
  <si>
    <t>Cost basis of shares sold</t>
  </si>
  <si>
    <r>
      <t>Profit (</t>
    </r>
    <r>
      <rPr>
        <sz val="11"/>
        <color rgb="FFFF0000"/>
        <rFont val="Calibri"/>
        <family val="2"/>
        <scheme val="minor"/>
      </rPr>
      <t>loss</t>
    </r>
    <r>
      <rPr>
        <sz val="11"/>
        <color theme="1"/>
        <rFont val="Calibri"/>
        <family val="2"/>
        <scheme val="minor"/>
      </rPr>
      <t>)</t>
    </r>
  </si>
  <si>
    <t>After the sale</t>
  </si>
  <si>
    <t>Date of sale</t>
  </si>
  <si>
    <t>Total # of shares remaining</t>
  </si>
  <si>
    <t>Cost basis per share remains at</t>
  </si>
  <si>
    <t>Purchase of</t>
  </si>
  <si>
    <t>Date of Purchase</t>
  </si>
  <si>
    <t>Prior to the purchase</t>
  </si>
  <si>
    <t>Shares purchased</t>
  </si>
  <si>
    <t>Total paid</t>
  </si>
  <si>
    <t>After the purchase</t>
  </si>
  <si>
    <t>Date of purchase</t>
  </si>
  <si>
    <t>New total # of shares in account</t>
  </si>
  <si>
    <t xml:space="preserve">Cost basis per share </t>
  </si>
  <si>
    <t>Bottom Template</t>
  </si>
  <si>
    <t>Transfer Template</t>
  </si>
  <si>
    <t>Transfer of</t>
  </si>
  <si>
    <t>Enter smbl</t>
  </si>
  <si>
    <t>Date of Transfer</t>
  </si>
  <si>
    <t>Account 1 Transferred from</t>
  </si>
  <si>
    <t>Enter Account name</t>
  </si>
  <si>
    <t>Acct #</t>
  </si>
  <si>
    <t>Prior to the transfer</t>
  </si>
  <si>
    <t>Shares transferred</t>
  </si>
  <si>
    <t>After the transfer</t>
  </si>
  <si>
    <t>Note:  shares were transferred to</t>
  </si>
  <si>
    <t>Transferred to</t>
  </si>
  <si>
    <t>Note:  shares were transferred from</t>
  </si>
  <si>
    <t xml:space="preserve">                                                                                              Aggressive Portfolio                                                                                                      Aggressive Portfolio</t>
  </si>
  <si>
    <t>Aggressive Portfolio Periodic Evaluations</t>
  </si>
  <si>
    <t xml:space="preserve">Location for info for    ETFs </t>
  </si>
  <si>
    <t>Overview</t>
  </si>
  <si>
    <t>Dist</t>
  </si>
  <si>
    <t>Comparison</t>
  </si>
  <si>
    <t>Ratings &amp; Anal</t>
  </si>
  <si>
    <t xml:space="preserve">Locaton of info for     MFs </t>
  </si>
  <si>
    <t>Summary</t>
  </si>
  <si>
    <t>Fees &amp; Dist</t>
  </si>
  <si>
    <t>Location for ind     Equities</t>
  </si>
  <si>
    <t>Div &amp; Earn</t>
  </si>
  <si>
    <t>Position Info</t>
  </si>
  <si>
    <t>Ongoing Evaluations</t>
  </si>
  <si>
    <t>Dividends</t>
  </si>
  <si>
    <t>Price</t>
  </si>
  <si>
    <t>Price Perf</t>
  </si>
  <si>
    <t>Ratings</t>
  </si>
  <si>
    <t>8/312025</t>
  </si>
  <si>
    <t>Acct</t>
  </si>
  <si>
    <t>Category</t>
  </si>
  <si>
    <t>Position</t>
  </si>
  <si>
    <t>Type Position</t>
  </si>
  <si>
    <t>Name</t>
  </si>
  <si>
    <t>General Type</t>
  </si>
  <si>
    <t>Seeks to track</t>
  </si>
  <si>
    <t>Trend</t>
  </si>
  <si>
    <t>Freq</t>
  </si>
  <si>
    <t>Yield</t>
  </si>
  <si>
    <t>1 yr</t>
  </si>
  <si>
    <t>6 months</t>
  </si>
  <si>
    <t>1 month</t>
  </si>
  <si>
    <t>Current</t>
  </si>
  <si>
    <t>1 Mo</t>
  </si>
  <si>
    <t>6 Mo</t>
  </si>
  <si>
    <t>1 Yr</t>
  </si>
  <si>
    <t>Tot Mkt Ret 1 yr</t>
  </si>
  <si>
    <t>Valuation</t>
  </si>
  <si>
    <t>Rating</t>
  </si>
  <si>
    <t>Short</t>
  </si>
  <si>
    <t>Mid</t>
  </si>
  <si>
    <t>Long</t>
  </si>
  <si>
    <t>Keep / Sell</t>
  </si>
  <si>
    <t>Quantity</t>
  </si>
  <si>
    <t>Cost Basis</t>
  </si>
  <si>
    <t>Yield for period</t>
  </si>
  <si>
    <t>Compare to Bench-mark</t>
  </si>
  <si>
    <t>Keep/Sell</t>
  </si>
  <si>
    <t>US</t>
  </si>
  <si>
    <t>Equity</t>
  </si>
  <si>
    <t>Apple</t>
  </si>
  <si>
    <t>Tech</t>
  </si>
  <si>
    <t>-</t>
  </si>
  <si>
    <t>↑</t>
  </si>
  <si>
    <t>Quarter</t>
  </si>
  <si>
    <t>Neu</t>
  </si>
  <si>
    <t>Weak</t>
  </si>
  <si>
    <t>Strong</t>
  </si>
  <si>
    <t>Watch</t>
  </si>
  <si>
    <t>Abbvie</t>
  </si>
  <si>
    <t>Bio pharmaceutical</t>
  </si>
  <si>
    <t>Very Bullish</t>
  </si>
  <si>
    <t>Keep</t>
  </si>
  <si>
    <t>American Express</t>
  </si>
  <si>
    <t>Credit cards</t>
  </si>
  <si>
    <t>~</t>
  </si>
  <si>
    <t>Autozone</t>
  </si>
  <si>
    <t>Auto parts</t>
  </si>
  <si>
    <t>None</t>
  </si>
  <si>
    <t>Bullish</t>
  </si>
  <si>
    <t>Bank of America 7.25% Non Cum Perp Conv Pref Series L</t>
  </si>
  <si>
    <t>Ask Scott about this preferred stock.  7.5%?</t>
  </si>
  <si>
    <t>Chevron</t>
  </si>
  <si>
    <t>Energy</t>
  </si>
  <si>
    <t>MF</t>
  </si>
  <si>
    <t>Fidelity Zero Total Mkt Idx Fund</t>
  </si>
  <si>
    <t>US Cap weighted</t>
  </si>
  <si>
    <t>Fdlty U.S. Tot Investable Mkt Idx</t>
  </si>
  <si>
    <t>Annual</t>
  </si>
  <si>
    <t>GE Aerospace</t>
  </si>
  <si>
    <t>Defense</t>
  </si>
  <si>
    <t>Neutral</t>
  </si>
  <si>
    <t>Google</t>
  </si>
  <si>
    <t>Goldman Sachs</t>
  </si>
  <si>
    <t>Financial</t>
  </si>
  <si>
    <t>GS Dep Shars 1/1000 floating Rate Pref Shs</t>
  </si>
  <si>
    <t>→</t>
  </si>
  <si>
    <t xml:space="preserve">Scott explain why I didn't get $300 dividend </t>
  </si>
  <si>
    <t>HCA Healthcare</t>
  </si>
  <si>
    <t>Healthcare</t>
  </si>
  <si>
    <t>Home Depot</t>
  </si>
  <si>
    <t>Home inprovement retail</t>
  </si>
  <si>
    <t>Bearish</t>
  </si>
  <si>
    <t>ETF</t>
  </si>
  <si>
    <t>iShares S&amp;P Mid-cap ETF</t>
  </si>
  <si>
    <t>Mid Cap</t>
  </si>
  <si>
    <t>S&amp;P MidCap 400 Index</t>
  </si>
  <si>
    <t>Keep for possible inclusion in final portfolio</t>
  </si>
  <si>
    <t>iShares Small Cap ETF</t>
  </si>
  <si>
    <t>Small Cap</t>
  </si>
  <si>
    <t>S&amp;P SmallCap 600 Index</t>
  </si>
  <si>
    <t>Strong recent performance</t>
  </si>
  <si>
    <t>JP Morgan In'l Research Enhanced Equty ETF</t>
  </si>
  <si>
    <t>EAFE countries</t>
  </si>
  <si>
    <t>MSCI EAFE Index </t>
  </si>
  <si>
    <t>JP Morgan Chase &amp; Co</t>
  </si>
  <si>
    <t>Fin Svcs</t>
  </si>
  <si>
    <t>Performance is outstanding since April</t>
  </si>
  <si>
    <t>Microsoft</t>
  </si>
  <si>
    <t>Utilities</t>
  </si>
  <si>
    <t>Uber</t>
  </si>
  <si>
    <t>Transportation</t>
  </si>
  <si>
    <t>United Theraputics</t>
  </si>
  <si>
    <t>Biotech</t>
  </si>
  <si>
    <t>Vanguard Real Estate Index Fund ETF</t>
  </si>
  <si>
    <t>US Real Estate</t>
  </si>
  <si>
    <t>MSCI US Investable Market Real Estate 25/50 Index</t>
  </si>
  <si>
    <t>Sideways but good dividends</t>
  </si>
  <si>
    <t>Wells Fargo 7.5% non Cumulative Perpetual Convertible Pref Shs Class A</t>
  </si>
  <si>
    <t>Never really recovered from big drop in Jan, 2022</t>
  </si>
  <si>
    <t>Waste Management</t>
  </si>
  <si>
    <t>Waste management</t>
  </si>
  <si>
    <t>236.99 Limit order placed 8/19/25</t>
  </si>
  <si>
    <t>Non-US</t>
  </si>
  <si>
    <t>CRH Public Ltd</t>
  </si>
  <si>
    <t>Building materials</t>
  </si>
  <si>
    <t>iSharees MSCI Eafe Min Vol Factor ETF</t>
  </si>
  <si>
    <t>Minimum volatility</t>
  </si>
  <si>
    <t>MSCI EAFE Minimum Volatility (USD) Index</t>
  </si>
  <si>
    <t>2x yr</t>
  </si>
  <si>
    <t>Fidelity Zero Int'l Idx Fund</t>
  </si>
  <si>
    <t>Non US large &amp; Mid Cap</t>
  </si>
  <si>
    <t>Fidelity Global ex U.S. Index</t>
  </si>
  <si>
    <t>iShares MSCI China ETF</t>
  </si>
  <si>
    <t>MCSI China idx</t>
  </si>
  <si>
    <t>Taiwan Semiconductor Manufacturers</t>
  </si>
  <si>
    <t>Semiconductors</t>
  </si>
  <si>
    <t>Bull-V Bull</t>
  </si>
  <si>
    <t>Vang Tax Mgd Fund Ftse Dev Mkts ETF</t>
  </si>
  <si>
    <t>Non US all caps</t>
  </si>
  <si>
    <t>FTSE Developed All Cap ex U.S. Index</t>
  </si>
  <si>
    <t>Viking Holdings</t>
  </si>
  <si>
    <t>Passenger shipping</t>
  </si>
  <si>
    <t>Overvalued.  Ready to crash?</t>
  </si>
  <si>
    <t>Int'l</t>
  </si>
  <si>
    <t>Flutter Entertainment</t>
  </si>
  <si>
    <t>Sports betting</t>
  </si>
  <si>
    <t>Vanguard Ftse All World Ex US Small Cap Index</t>
  </si>
  <si>
    <t>Non US small caps</t>
  </si>
  <si>
    <t>FTSE Global Small Cap ex U.S. Index</t>
  </si>
  <si>
    <t>Total Aggressive portion of portfolio</t>
  </si>
  <si>
    <t xml:space="preserve">                                                                           Conservative Porfolio                                                                                                                                                                               Conservative Porfolio</t>
  </si>
  <si>
    <t>Conservative Portfolio Periodic Evaluations</t>
  </si>
  <si>
    <t xml:space="preserve">Location for info for ETFs </t>
  </si>
  <si>
    <t>Comp</t>
  </si>
  <si>
    <t xml:space="preserve">Locaton of info for MFs </t>
  </si>
  <si>
    <t>Bond Quality</t>
  </si>
  <si>
    <t>Bond Duration</t>
  </si>
  <si>
    <t>NAV</t>
  </si>
  <si>
    <t>NAV Ret</t>
  </si>
  <si>
    <t>Symbol</t>
  </si>
  <si>
    <t>AAA
%</t>
  </si>
  <si>
    <t>Inv grade %</t>
  </si>
  <si>
    <t>High Yield %</t>
  </si>
  <si>
    <t>Short Term</t>
  </si>
  <si>
    <t>Int Term</t>
  </si>
  <si>
    <t>Long Term</t>
  </si>
  <si>
    <t>Comparison to Benchmark</t>
  </si>
  <si>
    <t>SPAXX - Fidelity Government Money Market</t>
  </si>
  <si>
    <t>Cash</t>
  </si>
  <si>
    <t>100%% assets in cash, US Gov't securities</t>
  </si>
  <si>
    <t>US Gov't</t>
  </si>
  <si>
    <t>Monthly</t>
  </si>
  <si>
    <t>NA</t>
  </si>
  <si>
    <t>US Treas Ser Q-2025 3%</t>
  </si>
  <si>
    <t>Short Term Bond Fund</t>
  </si>
  <si>
    <t>--</t>
  </si>
  <si>
    <t>Schwab Short Term US Treas ETF</t>
  </si>
  <si>
    <t>Blmbrg US tres 1-3 yr idx</t>
  </si>
  <si>
    <t>Sell</t>
  </si>
  <si>
    <t>iShares 1-5 Yr IG Corporate Bond ETF</t>
  </si>
  <si>
    <t>ICE BofA 1-5 year US Corp Bond Idx</t>
  </si>
  <si>
    <t>Vang Short Term Corp Bond Idx Fund</t>
  </si>
  <si>
    <t>Blmbrg US 1-5 Yr Corp Bond Idx</t>
  </si>
  <si>
    <t>iShares 0-5 Year Tips Bond ETF</t>
  </si>
  <si>
    <t>ICE US Treas Infl linked bond idx</t>
  </si>
  <si>
    <t>iShares Ultra Short Bond Active ETF</t>
  </si>
  <si>
    <t>Provide income and preserve capital</t>
  </si>
  <si>
    <t>This is an active fund</t>
  </si>
  <si>
    <t>JP Morgan Ultra short income ETF</t>
  </si>
  <si>
    <t>Cur income w low volatility of principal</t>
  </si>
  <si>
    <t>Not enough short term</t>
  </si>
  <si>
    <t>Fid Int Term Treasury Bond Index Fund</t>
  </si>
  <si>
    <t>Int Term Bond Fund</t>
  </si>
  <si>
    <t>Blmbrg 5-10 Yr Treas Bond Idx</t>
  </si>
  <si>
    <t>underperforming</t>
  </si>
  <si>
    <t xml:space="preserve">iShares TR 5-10 Yr </t>
  </si>
  <si>
    <t>ICE BofA 5-10 year US Corp Bond Idx</t>
  </si>
  <si>
    <t>Vanguard Int Term Bond Index Fund ETF</t>
  </si>
  <si>
    <t>Blmbrg US 5-10 Yr Gov/Float Adj Idx</t>
  </si>
  <si>
    <t>Too much Short to be an Int Term fund</t>
  </si>
  <si>
    <t>Vanguard Intermediate-Term Bond Idx Fund ETF</t>
  </si>
  <si>
    <t>Blmbrg US 5-10 yr Corp bond Idx</t>
  </si>
  <si>
    <t>Schwab Int Term US Treas ETF</t>
  </si>
  <si>
    <t>Blmbrg US tres 3-10 yr idx</t>
  </si>
  <si>
    <t>Vanguard Core Bond ETF</t>
  </si>
  <si>
    <t>Gen total rtn with mod lvl of income</t>
  </si>
  <si>
    <t>iShares Mbs ETF</t>
  </si>
  <si>
    <t>Long Term Bond Fund</t>
  </si>
  <si>
    <t>Blmbrg US Mort Bkd Sec Idx</t>
  </si>
  <si>
    <t>LT Bonds aren't responding to rate cuts</t>
  </si>
  <si>
    <t>Fid Long Term Treasury Bond Index Fund</t>
  </si>
  <si>
    <t>Blmbrg US long tres idx</t>
  </si>
  <si>
    <t>US Govt</t>
  </si>
  <si>
    <t>Schwab Long Term US Treas ETF</t>
  </si>
  <si>
    <t>Vang Long-Term Corporate Bond Idx Fund ETF</t>
  </si>
  <si>
    <t>Blmbrg US 10 yr+ Corp bond Idx</t>
  </si>
  <si>
    <t>Vanguard Long Term Invmt Grade Funds</t>
  </si>
  <si>
    <t>Provide high level of income</t>
  </si>
  <si>
    <t>12.3 years%</t>
  </si>
  <si>
    <t>Fidelity Total Bond ETF</t>
  </si>
  <si>
    <t>Total Mkt Bond Fund</t>
  </si>
  <si>
    <t>Seeks high level of current income</t>
  </si>
  <si>
    <t>More LT bonds than FTBFX</t>
  </si>
  <si>
    <t>Vanguard Total Bond Market Index Fund ETF</t>
  </si>
  <si>
    <t>Blmbrg U.S. Aggregate Float Adj Idx</t>
  </si>
  <si>
    <t>iShares Core US Aggregate Bond ETF</t>
  </si>
  <si>
    <t>Benchmark</t>
  </si>
  <si>
    <t>Benchmark for tracking the overall performance of the US Investment-grade bond market</t>
  </si>
  <si>
    <t>Portfolio Balance Analysis</t>
  </si>
  <si>
    <t>Total from downloaded data</t>
  </si>
  <si>
    <t>Sum of Con &amp; Agg portfolios on this sheet</t>
  </si>
  <si>
    <t>Conservative Portfolio Analysis</t>
  </si>
  <si>
    <t>Total Conservative Portfolio $</t>
  </si>
  <si>
    <t>Portion of Total portfolio</t>
  </si>
  <si>
    <t>Conservative target</t>
  </si>
  <si>
    <t>Under (over)</t>
  </si>
  <si>
    <t>Aggressive Portfolio Analysis</t>
  </si>
  <si>
    <t>Total Aggressive Portfolio $</t>
  </si>
  <si>
    <t>Aggressive target</t>
  </si>
  <si>
    <t>For New Evaluations</t>
  </si>
  <si>
    <t>Protect data in previous Conservative evaluation</t>
  </si>
  <si>
    <t>Select data in previous evaluation</t>
  </si>
  <si>
    <t>Copy, then Paste Values &amp; Source Formatting in same location</t>
  </si>
  <si>
    <t>Protect data in previous Aggressive evaluation</t>
  </si>
  <si>
    <t>Prepare this workbook for new evaluation</t>
  </si>
  <si>
    <t>In Downloads sheet of this workbook, copy / paste top two rows of last eval to the right</t>
  </si>
  <si>
    <t>in Cons Port Evals sheet of this workbook, Copy / paste the last eval to right</t>
  </si>
  <si>
    <t>Repeat in Agg Port Evals sheet of this workbook</t>
  </si>
  <si>
    <t>Input data from Fidelity to this workbook</t>
  </si>
  <si>
    <t>Download all positions at Fidelity.com / Account Positions / Download</t>
  </si>
  <si>
    <t>Save file as workbook in Portfolio Chronology &amp; evals</t>
  </si>
  <si>
    <t>Move column E between columns A &amp; B</t>
  </si>
  <si>
    <t>Add "Total Portfolio" and total at bottom of Current Value column</t>
  </si>
  <si>
    <t>Copy &amp; paste columns C-F into scratchpadd worksheet</t>
  </si>
  <si>
    <t>When a position is sold</t>
  </si>
  <si>
    <t>Protect previous data</t>
  </si>
  <si>
    <t>Change the name of the position from "position" to "position-sold"</t>
  </si>
  <si>
    <t>Hide the row where the sold position was</t>
  </si>
  <si>
    <t>When adding a new fund/positon</t>
  </si>
  <si>
    <t>For new evaluations</t>
  </si>
  <si>
    <t>Manually add the info in  Columns A-Y</t>
  </si>
  <si>
    <t>From this worksheet</t>
  </si>
  <si>
    <t>Copy the formulas for Value and Yield - Annualized into the new row from another row</t>
  </si>
  <si>
    <t>Copy the six columns from last eval</t>
  </si>
  <si>
    <t>Paste them to the right of the last eval</t>
  </si>
  <si>
    <t>Enter the correct date</t>
  </si>
  <si>
    <t>When selling a fund/position</t>
  </si>
  <si>
    <t>Delete the data in Keep/sell and Notes</t>
  </si>
  <si>
    <t>Hide that row</t>
  </si>
  <si>
    <t>Repeat for Aggressive Portfolio worksheet</t>
  </si>
  <si>
    <t>Go to the "Worksheet" worksheet</t>
  </si>
  <si>
    <t>Copy the cells in rows 1 &amp; 2 for the previous analysis</t>
  </si>
  <si>
    <t>Paste to the right.  It should sownw the date of the new analysis</t>
  </si>
  <si>
    <t>Copy data from Accts to Worksheet</t>
  </si>
  <si>
    <t>Copy row of position names from Col A to *</t>
  </si>
  <si>
    <t>Select cell in indicatd columt and Paste - Transpose</t>
  </si>
  <si>
    <t>Copy row of data (current value of the position)</t>
  </si>
  <si>
    <t>Headings</t>
  </si>
  <si>
    <t>Values</t>
  </si>
  <si>
    <t>Account Name</t>
  </si>
  <si>
    <t>Current Value</t>
  </si>
  <si>
    <t>Average Cost Basis</t>
  </si>
  <si>
    <t>IJR - Joint</t>
  </si>
  <si>
    <t>Rob's IRA Mgd - Eq</t>
  </si>
  <si>
    <t>Pending Activity</t>
  </si>
  <si>
    <t>Rob's IRA  Mgd - Bd</t>
  </si>
  <si>
    <t>Joint Mgd - Eq</t>
  </si>
  <si>
    <t>FCASH**</t>
  </si>
  <si>
    <t>MSFT - sold</t>
  </si>
  <si>
    <r>
      <t>Cash -</t>
    </r>
    <r>
      <rPr>
        <sz val="11"/>
        <rFont val="Calibri"/>
        <family val="2"/>
        <scheme val="minor"/>
      </rPr>
      <t xml:space="preserve">     </t>
    </r>
    <r>
      <rPr>
        <u/>
        <sz val="11"/>
        <rFont val="Calibri"/>
        <family val="2"/>
        <scheme val="minor"/>
      </rPr>
      <t>Rob's IRA - Cons</t>
    </r>
  </si>
  <si>
    <t>Aggressive</t>
  </si>
  <si>
    <t>Basis</t>
  </si>
  <si>
    <t>% Tot Gain / Loss</t>
  </si>
  <si>
    <t>Amazon</t>
  </si>
  <si>
    <t>Carlyle Group</t>
  </si>
  <si>
    <t>iShares Trust Core MSCI EAFE</t>
  </si>
  <si>
    <t>Non-US equities</t>
  </si>
  <si>
    <t>MCSI EAFE IMI Idx</t>
  </si>
  <si>
    <t>United Healthcare</t>
  </si>
  <si>
    <t>↓</t>
  </si>
  <si>
    <t>Sell order - market placed on 8/26/25</t>
  </si>
  <si>
    <t>iShares MSCI Emerging Markets ETF</t>
  </si>
  <si>
    <t>Emerg Mkts</t>
  </si>
  <si>
    <t>MSCI Emerging Markets Investable Market Index</t>
  </si>
  <si>
    <t>Yield since</t>
  </si>
  <si>
    <t>"(AN14-AG14)/(OFFSET(MATCH(AN8,$Z5:AN5),ROWS(AN$8:AN14),0))"</t>
  </si>
  <si>
    <t>AN17-OFFSET(Z17,0,MATCH(AN8,$Z6:AN6)-1))/OFFSET(Z17,0,MATCH(AN8,$Z6:AN6)-1)</t>
  </si>
  <si>
    <t>OFFSET(Z17,0,MATCH(AN8,$Z6:AN6)-1)</t>
  </si>
  <si>
    <t>OFFSET(Z17,0,MATCH(AN8,$Y6:AN6))</t>
  </si>
  <si>
    <t>MATCH(AN8,$Y6:AN6)-1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</si>
</sst>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8" formatCode="&quot;$&quot;#,##0.00_);[Red]\(&quot;$&quot;#,##0.00\)"/>
    <numFmt numFmtId="164" formatCode="&quot;$&quot;#,##0"/>
    <numFmt numFmtId="165" formatCode="0.0%"/>
    <numFmt numFmtId="166" formatCode="&quot;$&quot;#,##0.00"/>
    <numFmt numFmtId="167" formatCode="0.000"/>
    <numFmt numFmtId="168" formatCode="m/d/yy;@"/>
    <numFmt numFmtId="169" formatCode="0.0000"/>
  </numFmts>
  <fonts count="60" x14ac:knownFonts="1">
    <font>
      <sz val="11"/>
      <color theme="1"/>
      <name val="Calibri"/>
      <family val="2"/>
      <scheme val="minor"/>
    </font>
    <font>
      <sz val="9"/>
      <color indexed="81"/>
      <name val="Tahoma"/>
      <family val="2"/>
    </font>
    <font>
      <b/>
      <sz val="9"/>
      <color indexed="81"/>
      <name val="Tahoma"/>
      <family val="2"/>
    </font>
    <font>
      <sz val="11"/>
      <name val="Calibri"/>
      <family val="2"/>
      <scheme val="minor"/>
    </font>
    <font>
      <b/>
      <sz val="11"/>
      <name val="Calibri"/>
      <family val="2"/>
      <scheme val="minor"/>
    </font>
    <font>
      <u/>
      <sz val="11"/>
      <name val="Calibri"/>
      <family val="2"/>
      <scheme val="minor"/>
    </font>
    <font>
      <u/>
      <sz val="11"/>
      <color theme="1"/>
      <name val="Calibri"/>
      <family val="2"/>
      <scheme val="minor"/>
    </font>
    <font>
      <sz val="8"/>
      <name val="Calibri"/>
      <family val="2"/>
      <scheme val="minor"/>
    </font>
    <font>
      <b/>
      <sz val="8"/>
      <name val="Calibri"/>
      <family val="2"/>
      <scheme val="minor"/>
    </font>
    <font>
      <b/>
      <u/>
      <sz val="14"/>
      <name val="Calibri"/>
      <family val="2"/>
      <scheme val="minor"/>
    </font>
    <font>
      <b/>
      <sz val="11"/>
      <color rgb="FF7030A0"/>
      <name val="Calibri"/>
      <family val="2"/>
      <scheme val="minor"/>
    </font>
    <font>
      <b/>
      <sz val="14"/>
      <color rgb="FF7030A0"/>
      <name val="Calibri"/>
      <family val="2"/>
      <scheme val="minor"/>
    </font>
    <font>
      <sz val="11"/>
      <color indexed="81"/>
      <name val="Tahoma"/>
      <family val="2"/>
    </font>
    <font>
      <b/>
      <sz val="11"/>
      <color indexed="81"/>
      <name val="Tahoma"/>
      <family val="2"/>
    </font>
    <font>
      <u/>
      <sz val="8"/>
      <name val="Calibri"/>
      <family val="2"/>
      <scheme val="minor"/>
    </font>
    <font>
      <strike/>
      <u/>
      <sz val="11"/>
      <name val="Calibri"/>
      <family val="2"/>
      <scheme val="minor"/>
    </font>
    <font>
      <b/>
      <u/>
      <sz val="8"/>
      <name val="Calibri"/>
      <family val="2"/>
      <scheme val="minor"/>
    </font>
    <font>
      <b/>
      <sz val="11"/>
      <color rgb="FF0000FF"/>
      <name val="Calibri"/>
      <family val="2"/>
      <scheme val="minor"/>
    </font>
    <font>
      <sz val="8"/>
      <color theme="1"/>
      <name val="Calibri"/>
      <family val="2"/>
      <scheme val="minor"/>
    </font>
    <font>
      <u/>
      <sz val="14"/>
      <name val="Calibri"/>
      <family val="2"/>
      <scheme val="minor"/>
    </font>
    <font>
      <sz val="14"/>
      <name val="Calibri"/>
      <family val="2"/>
      <scheme val="minor"/>
    </font>
    <font>
      <u/>
      <sz val="11"/>
      <color theme="10"/>
      <name val="Calibri"/>
      <family val="2"/>
      <scheme val="minor"/>
    </font>
    <font>
      <b/>
      <sz val="14"/>
      <name val="Calibri"/>
      <family val="2"/>
      <scheme val="minor"/>
    </font>
    <font>
      <u/>
      <sz val="14"/>
      <color theme="10"/>
      <name val="Calibri"/>
      <family val="2"/>
      <scheme val="minor"/>
    </font>
    <font>
      <sz val="14"/>
      <color theme="1"/>
      <name val="Calibri"/>
      <family val="2"/>
      <scheme val="minor"/>
    </font>
    <font>
      <sz val="11"/>
      <color rgb="FFFF0000"/>
      <name val="Calibri"/>
      <family val="2"/>
      <scheme val="minor"/>
    </font>
    <font>
      <sz val="11"/>
      <color rgb="FF0000FF"/>
      <name val="Calibri"/>
      <family val="2"/>
      <scheme val="minor"/>
    </font>
    <font>
      <b/>
      <u/>
      <sz val="11"/>
      <color theme="1"/>
      <name val="Calibri"/>
      <family val="2"/>
      <scheme val="minor"/>
    </font>
    <font>
      <b/>
      <u/>
      <sz val="11"/>
      <color rgb="FF7030A0"/>
      <name val="Calibri"/>
      <family val="2"/>
      <scheme val="minor"/>
    </font>
    <font>
      <b/>
      <u/>
      <sz val="20"/>
      <name val="Calibri"/>
      <family val="2"/>
      <scheme val="minor"/>
    </font>
    <font>
      <b/>
      <u/>
      <sz val="20"/>
      <color theme="0"/>
      <name val="Calibri"/>
      <family val="2"/>
      <scheme val="minor"/>
    </font>
    <font>
      <u/>
      <sz val="20"/>
      <name val="Calibri"/>
      <family val="2"/>
      <scheme val="minor"/>
    </font>
    <font>
      <u/>
      <sz val="20"/>
      <color theme="1"/>
      <name val="Calibri"/>
      <family val="2"/>
      <scheme val="minor"/>
    </font>
    <font>
      <b/>
      <u/>
      <sz val="20"/>
      <color theme="1"/>
      <name val="Calibri"/>
      <family val="2"/>
      <scheme val="minor"/>
    </font>
    <font>
      <u/>
      <sz val="12"/>
      <name val="Calibri"/>
      <family val="2"/>
      <scheme val="minor"/>
    </font>
    <font>
      <strike/>
      <u/>
      <sz val="8"/>
      <name val="Calibri"/>
      <family val="2"/>
      <scheme val="minor"/>
    </font>
    <font>
      <b/>
      <u/>
      <sz val="12"/>
      <name val="Calibri"/>
      <family val="2"/>
      <scheme val="minor"/>
    </font>
    <font>
      <b/>
      <u/>
      <sz val="12"/>
      <color theme="1"/>
      <name val="Calibri"/>
      <family val="2"/>
      <scheme val="minor"/>
    </font>
    <font>
      <strike/>
      <u/>
      <sz val="11"/>
      <color theme="0" tint="-0.34998626667073579"/>
      <name val="Calibri"/>
      <family val="2"/>
      <scheme val="minor"/>
    </font>
    <font>
      <b/>
      <sz val="11"/>
      <color theme="1"/>
      <name val="Calibri"/>
      <family val="2"/>
      <scheme val="minor"/>
    </font>
    <font>
      <sz val="10"/>
      <color theme="1"/>
      <name val="Calibri"/>
      <family val="2"/>
      <scheme val="minor"/>
    </font>
    <font>
      <sz val="10"/>
      <name val="Calibri"/>
      <family val="2"/>
      <scheme val="minor"/>
    </font>
    <font>
      <b/>
      <sz val="11"/>
      <color theme="0"/>
      <name val="Calibri"/>
      <family val="2"/>
      <scheme val="minor"/>
    </font>
    <font>
      <u/>
      <sz val="10"/>
      <name val="Calibri"/>
      <family val="2"/>
      <scheme val="minor"/>
    </font>
    <font>
      <b/>
      <sz val="10"/>
      <color theme="1"/>
      <name val="Calibri"/>
      <family val="2"/>
      <scheme val="minor"/>
    </font>
    <font>
      <sz val="20"/>
      <color theme="1"/>
      <name val="Calibri"/>
      <family val="2"/>
      <scheme val="minor"/>
    </font>
    <font>
      <sz val="36"/>
      <color theme="1"/>
      <name val="Calibri"/>
      <family val="2"/>
      <scheme val="minor"/>
    </font>
    <font>
      <b/>
      <u/>
      <sz val="11"/>
      <name val="Calibri"/>
      <family val="2"/>
      <scheme val="minor"/>
    </font>
    <font>
      <b/>
      <sz val="16"/>
      <color theme="0"/>
      <name val="Calibri"/>
      <family val="2"/>
      <scheme val="minor"/>
    </font>
    <font>
      <b/>
      <u/>
      <sz val="16"/>
      <color theme="0"/>
      <name val="Calibri"/>
      <family val="2"/>
      <scheme val="minor"/>
    </font>
    <font>
      <b/>
      <sz val="14"/>
      <color theme="1"/>
      <name val="Calibri"/>
      <family val="2"/>
      <scheme val="minor"/>
    </font>
    <font>
      <sz val="10"/>
      <color rgb="FF333333"/>
      <name val="Arial"/>
      <family val="2"/>
    </font>
    <font>
      <sz val="11"/>
      <color theme="0"/>
      <name val="Calibri"/>
      <family val="2"/>
      <scheme val="minor"/>
    </font>
    <font>
      <sz val="9"/>
      <color indexed="81"/>
      <name val="Tahoma"/>
      <charset val="1"/>
    </font>
    <font>
      <b/>
      <sz val="9"/>
      <color indexed="81"/>
      <name val="Tahoma"/>
      <charset val="1"/>
    </font>
    <font>
      <b/>
      <sz val="18"/>
      <color theme="1"/>
      <name val="Calibri"/>
      <family val="2"/>
      <scheme val="minor"/>
    </font>
    <font>
      <b/>
      <sz val="11"/>
      <color rgb="FF00B050"/>
      <name val="Calibri"/>
      <family val="2"/>
      <scheme val="minor"/>
    </font>
    <font>
      <sz val="10"/>
      <color theme="0"/>
      <name val="Calibri"/>
      <family val="2"/>
      <scheme val="minor"/>
    </font>
    <font>
      <sz val="11"/>
      <color theme="1"/>
      <name val="Aptos Narrow"/>
      <family val="2"/>
    </font>
    <font>
      <b/>
      <sz val="12"/>
      <color rgb="FF00B050"/>
      <name val="Calibri"/>
      <family val="2"/>
      <scheme val="minor"/>
    </font>
  </fonts>
  <fills count="27">
    <fill>
      <patternFill patternType="none"/>
    </fill>
    <fill>
      <patternFill patternType="gray125"/>
    </fill>
    <fill>
      <patternFill patternType="solid">
        <fgColor theme="1"/>
        <bgColor indexed="64"/>
      </patternFill>
    </fill>
    <fill>
      <patternFill patternType="solid">
        <fgColor rgb="FFF2F2F2"/>
      </patternFill>
    </fill>
    <fill>
      <patternFill patternType="solid">
        <fgColor theme="3" tint="0.79998168889431442"/>
        <bgColor indexed="64"/>
      </patternFill>
    </fill>
    <fill>
      <patternFill patternType="solid">
        <fgColor theme="0" tint="-4.9989318521683403E-2"/>
        <bgColor indexed="64"/>
      </patternFill>
    </fill>
    <fill>
      <patternFill patternType="solid">
        <fgColor rgb="FF0070C0"/>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rgb="FF00B050"/>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FF0000"/>
        <bgColor indexed="64"/>
      </patternFill>
    </fill>
    <fill>
      <patternFill patternType="solid">
        <fgColor theme="8" tint="0.59999389629810485"/>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3" tint="0.59999389629810485"/>
        <bgColor indexed="64"/>
      </patternFill>
    </fill>
    <fill>
      <patternFill patternType="solid">
        <fgColor theme="6" tint="0.79998168889431442"/>
        <bgColor indexed="64"/>
      </patternFill>
    </fill>
    <fill>
      <patternFill patternType="solid">
        <fgColor rgb="FFC0BB92"/>
        <bgColor indexed="64"/>
      </patternFill>
    </fill>
    <fill>
      <patternFill patternType="solid">
        <fgColor rgb="FFFFFF99"/>
        <bgColor indexed="64"/>
      </patternFill>
    </fill>
    <fill>
      <patternFill patternType="solid">
        <fgColor rgb="FF92D050"/>
        <bgColor indexed="64"/>
      </patternFill>
    </fill>
    <fill>
      <patternFill patternType="solid">
        <fgColor theme="7"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8" tint="0.39997558519241921"/>
        <bgColor indexed="64"/>
      </patternFill>
    </fill>
  </fills>
  <borders count="81">
    <border>
      <left/>
      <right/>
      <top/>
      <bottom/>
      <diagonal/>
    </border>
    <border>
      <left style="thin">
        <color rgb="FF7F7F7F"/>
      </left>
      <right style="thin">
        <color rgb="FF7F7F7F"/>
      </right>
      <top style="thin">
        <color rgb="FF7F7F7F"/>
      </top>
      <bottom style="thin">
        <color rgb="FF7F7F7F"/>
      </bottom>
      <diagonal/>
    </border>
    <border>
      <left style="thin">
        <color indexed="64"/>
      </left>
      <right/>
      <top/>
      <bottom/>
      <diagonal/>
    </border>
    <border>
      <left style="thin">
        <color rgb="FF7F7F7F"/>
      </left>
      <right/>
      <top style="thin">
        <color rgb="FF7F7F7F"/>
      </top>
      <bottom style="thin">
        <color rgb="FF7F7F7F"/>
      </bottom>
      <diagonal/>
    </border>
    <border>
      <left style="thin">
        <color indexed="64"/>
      </left>
      <right style="thin">
        <color rgb="FF7F7F7F"/>
      </right>
      <top style="thin">
        <color rgb="FF7F7F7F"/>
      </top>
      <bottom style="thin">
        <color rgb="FF7F7F7F"/>
      </bottom>
      <diagonal/>
    </border>
    <border>
      <left style="thick">
        <color auto="1"/>
      </left>
      <right style="thin">
        <color rgb="FF7F7F7F"/>
      </right>
      <top style="thin">
        <color rgb="FF7F7F7F"/>
      </top>
      <bottom style="thin">
        <color rgb="FF7F7F7F"/>
      </bottom>
      <diagonal/>
    </border>
    <border>
      <left style="thick">
        <color auto="1"/>
      </left>
      <right/>
      <top style="thin">
        <color rgb="FF7F7F7F"/>
      </top>
      <bottom style="thin">
        <color rgb="FF7F7F7F"/>
      </bottom>
      <diagonal/>
    </border>
    <border>
      <left/>
      <right style="thick">
        <color auto="1"/>
      </right>
      <top/>
      <bottom/>
      <diagonal/>
    </border>
    <border>
      <left/>
      <right style="thin">
        <color rgb="FF7F7F7F"/>
      </right>
      <top style="thin">
        <color rgb="FF7F7F7F"/>
      </top>
      <bottom style="thin">
        <color rgb="FF7F7F7F"/>
      </bottom>
      <diagonal/>
    </border>
    <border>
      <left style="thin">
        <color rgb="FF7F7F7F"/>
      </left>
      <right style="thick">
        <color indexed="64"/>
      </right>
      <top style="thin">
        <color rgb="FF7F7F7F"/>
      </top>
      <bottom style="thin">
        <color rgb="FF7F7F7F"/>
      </bottom>
      <diagonal/>
    </border>
    <border>
      <left/>
      <right/>
      <top/>
      <bottom style="thin">
        <color indexed="64"/>
      </bottom>
      <diagonal/>
    </border>
    <border>
      <left style="thin">
        <color indexed="64"/>
      </left>
      <right/>
      <top/>
      <bottom style="thin">
        <color indexed="64"/>
      </bottom>
      <diagonal/>
    </border>
    <border>
      <left/>
      <right style="thick">
        <color auto="1"/>
      </right>
      <top/>
      <bottom style="thin">
        <color indexed="64"/>
      </bottom>
      <diagonal/>
    </border>
    <border>
      <left style="thick">
        <color auto="1"/>
      </left>
      <right/>
      <top/>
      <bottom style="thin">
        <color indexed="64"/>
      </bottom>
      <diagonal/>
    </border>
    <border>
      <left/>
      <right style="thin">
        <color rgb="FF7F7F7F"/>
      </right>
      <top/>
      <bottom style="thin">
        <color rgb="FF7F7F7F"/>
      </bottom>
      <diagonal/>
    </border>
    <border>
      <left style="thin">
        <color rgb="FF7F7F7F"/>
      </left>
      <right style="thin">
        <color rgb="FF7F7F7F"/>
      </right>
      <top/>
      <bottom style="thin">
        <color rgb="FF7F7F7F"/>
      </bottom>
      <diagonal/>
    </border>
    <border>
      <left style="thin">
        <color rgb="FF7F7F7F"/>
      </left>
      <right/>
      <top/>
      <bottom style="thin">
        <color rgb="FF7F7F7F"/>
      </bottom>
      <diagonal/>
    </border>
    <border>
      <left style="thick">
        <color auto="1"/>
      </left>
      <right style="thin">
        <color rgb="FF7F7F7F"/>
      </right>
      <top/>
      <bottom style="thin">
        <color rgb="FF7F7F7F"/>
      </bottom>
      <diagonal/>
    </border>
    <border>
      <left style="thin">
        <color rgb="FF7F7F7F"/>
      </left>
      <right style="thick">
        <color indexed="64"/>
      </right>
      <top/>
      <bottom style="thin">
        <color rgb="FF7F7F7F"/>
      </bottom>
      <diagonal/>
    </border>
    <border>
      <left/>
      <right/>
      <top/>
      <bottom style="thin">
        <color rgb="FF7F7F7F"/>
      </bottom>
      <diagonal/>
    </border>
    <border>
      <left/>
      <right/>
      <top style="thin">
        <color rgb="FF7F7F7F"/>
      </top>
      <bottom style="thin">
        <color rgb="FF7F7F7F"/>
      </bottom>
      <diagonal/>
    </border>
    <border>
      <left style="thick">
        <color auto="1"/>
      </left>
      <right/>
      <top/>
      <bottom style="thin">
        <color rgb="FF7F7F7F"/>
      </bottom>
      <diagonal/>
    </border>
    <border>
      <left/>
      <right style="medium">
        <color auto="1"/>
      </right>
      <top/>
      <bottom style="thin">
        <color indexed="64"/>
      </bottom>
      <diagonal/>
    </border>
    <border>
      <left/>
      <right style="thick">
        <color auto="1"/>
      </right>
      <top/>
      <bottom style="thin">
        <color rgb="FF7F7F7F"/>
      </bottom>
      <diagonal/>
    </border>
    <border>
      <left/>
      <right style="thick">
        <color auto="1"/>
      </right>
      <top style="thin">
        <color rgb="FF7F7F7F"/>
      </top>
      <bottom style="thin">
        <color rgb="FF7F7F7F"/>
      </bottom>
      <diagonal/>
    </border>
    <border>
      <left style="medium">
        <color indexed="64"/>
      </left>
      <right/>
      <top style="medium">
        <color indexed="64"/>
      </top>
      <bottom/>
      <diagonal/>
    </border>
    <border>
      <left/>
      <right/>
      <top style="medium">
        <color indexed="64"/>
      </top>
      <bottom/>
      <diagonal/>
    </border>
    <border>
      <left style="thick">
        <color auto="1"/>
      </left>
      <right/>
      <top style="medium">
        <color indexed="64"/>
      </top>
      <bottom/>
      <diagonal/>
    </border>
    <border>
      <left/>
      <right style="thick">
        <color auto="1"/>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ck">
        <color auto="1"/>
      </right>
      <top style="thin">
        <color indexed="64"/>
      </top>
      <bottom style="medium">
        <color indexed="64"/>
      </bottom>
      <diagonal/>
    </border>
    <border>
      <left style="thick">
        <color auto="1"/>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64"/>
      </bottom>
      <diagonal/>
    </border>
    <border>
      <left style="thick">
        <color auto="1"/>
      </left>
      <right style="thin">
        <color indexed="64"/>
      </right>
      <top style="thin">
        <color rgb="FF7F7F7F"/>
      </top>
      <bottom style="thin">
        <color rgb="FF7F7F7F"/>
      </bottom>
      <diagonal/>
    </border>
    <border>
      <left/>
      <right style="thick">
        <color rgb="FF7F7F7F"/>
      </right>
      <top style="thin">
        <color rgb="FF7F7F7F"/>
      </top>
      <bottom style="thin">
        <color rgb="FF7F7F7F"/>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thin">
        <color rgb="FF7F7F7F"/>
      </top>
      <bottom style="thin">
        <color rgb="FF7F7F7F"/>
      </bottom>
      <diagonal/>
    </border>
    <border>
      <left/>
      <right style="thin">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thin">
        <color rgb="FF7F7F7F"/>
      </left>
      <right style="thin">
        <color rgb="FF7F7F7F"/>
      </right>
      <top/>
      <bottom/>
      <diagonal/>
    </border>
    <border>
      <left style="thick">
        <color auto="1"/>
      </left>
      <right/>
      <top/>
      <bottom/>
      <diagonal/>
    </border>
    <border>
      <left style="medium">
        <color auto="1"/>
      </left>
      <right style="medium">
        <color auto="1"/>
      </right>
      <top/>
      <bottom/>
      <diagonal/>
    </border>
    <border>
      <left/>
      <right/>
      <top style="medium">
        <color indexed="64"/>
      </top>
      <bottom style="medium">
        <color indexed="64"/>
      </bottom>
      <diagonal/>
    </border>
    <border>
      <left/>
      <right style="thick">
        <color auto="1"/>
      </right>
      <top/>
      <bottom style="thick">
        <color auto="1"/>
      </bottom>
      <diagonal/>
    </border>
    <border>
      <left/>
      <right style="thin">
        <color indexed="64"/>
      </right>
      <top/>
      <bottom style="thin">
        <color rgb="FF7F7F7F"/>
      </bottom>
      <diagonal/>
    </border>
    <border>
      <left style="thin">
        <color indexed="64"/>
      </left>
      <right style="thin">
        <color rgb="FF7F7F7F"/>
      </right>
      <top/>
      <bottom style="thin">
        <color rgb="FF7F7F7F"/>
      </bottom>
      <diagonal/>
    </border>
    <border>
      <left/>
      <right/>
      <top/>
      <bottom style="thick">
        <color auto="1"/>
      </bottom>
      <diagonal/>
    </border>
    <border>
      <left style="thin">
        <color rgb="FF7F7F7F"/>
      </left>
      <right style="thin">
        <color rgb="FF7F7F7F"/>
      </right>
      <top/>
      <bottom style="thick">
        <color auto="1"/>
      </bottom>
      <diagonal/>
    </border>
    <border>
      <left style="thin">
        <color rgb="FF7F7F7F"/>
      </left>
      <right style="thin">
        <color rgb="FF7F7F7F"/>
      </right>
      <top style="thin">
        <color rgb="FF7F7F7F"/>
      </top>
      <bottom style="thick">
        <color auto="1"/>
      </bottom>
      <diagonal/>
    </border>
    <border>
      <left style="thin">
        <color indexed="64"/>
      </left>
      <right/>
      <top/>
      <bottom style="thick">
        <color auto="1"/>
      </bottom>
      <diagonal/>
    </border>
    <border>
      <left/>
      <right style="thin">
        <color rgb="FF7F7F7F"/>
      </right>
      <top style="thin">
        <color rgb="FF7F7F7F"/>
      </top>
      <bottom style="thick">
        <color auto="1"/>
      </bottom>
      <diagonal/>
    </border>
    <border>
      <left style="thin">
        <color rgb="FF7F7F7F"/>
      </left>
      <right/>
      <top style="thin">
        <color rgb="FF7F7F7F"/>
      </top>
      <bottom style="thick">
        <color auto="1"/>
      </bottom>
      <diagonal/>
    </border>
    <border>
      <left style="thick">
        <color auto="1"/>
      </left>
      <right style="thin">
        <color rgb="FF7F7F7F"/>
      </right>
      <top style="thin">
        <color rgb="FF7F7F7F"/>
      </top>
      <bottom style="thick">
        <color auto="1"/>
      </bottom>
      <diagonal/>
    </border>
    <border>
      <left/>
      <right style="thick">
        <color auto="1"/>
      </right>
      <top style="thin">
        <color rgb="FF7F7F7F"/>
      </top>
      <bottom style="thick">
        <color auto="1"/>
      </bottom>
      <diagonal/>
    </border>
    <border>
      <left/>
      <right style="thin">
        <color indexed="64"/>
      </right>
      <top style="thin">
        <color rgb="FF7F7F7F"/>
      </top>
      <bottom style="thick">
        <color auto="1"/>
      </bottom>
      <diagonal/>
    </border>
    <border>
      <left style="thin">
        <color indexed="64"/>
      </left>
      <right style="thin">
        <color rgb="FF7F7F7F"/>
      </right>
      <top style="thin">
        <color rgb="FF7F7F7F"/>
      </top>
      <bottom style="thick">
        <color auto="1"/>
      </bottom>
      <diagonal/>
    </border>
    <border>
      <left/>
      <right/>
      <top style="thin">
        <color rgb="FF7F7F7F"/>
      </top>
      <bottom style="thick">
        <color auto="1"/>
      </bottom>
      <diagonal/>
    </border>
    <border>
      <left style="thick">
        <color auto="1"/>
      </left>
      <right/>
      <top style="thin">
        <color rgb="FF7F7F7F"/>
      </top>
      <bottom style="thick">
        <color auto="1"/>
      </bottom>
      <diagonal/>
    </border>
    <border>
      <left style="thin">
        <color rgb="FF7F7F7F"/>
      </left>
      <right style="thick">
        <color indexed="64"/>
      </right>
      <top style="thin">
        <color rgb="FF7F7F7F"/>
      </top>
      <bottom style="thick">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xf numFmtId="0" fontId="10" fillId="3" borderId="1" applyNumberFormat="0" applyAlignment="0" applyProtection="0"/>
    <xf numFmtId="0" fontId="21" fillId="0" borderId="0" applyNumberFormat="0" applyFill="0" applyBorder="0" applyAlignment="0" applyProtection="0"/>
  </cellStyleXfs>
  <cellXfs count="678">
    <xf numFmtId="0" fontId="0" fillId="0" borderId="0" xfId="0"/>
    <xf numFmtId="164" fontId="0" fillId="0" borderId="0" xfId="0" applyNumberFormat="1" applyAlignment="1">
      <alignment horizontal="center"/>
    </xf>
    <xf numFmtId="164" fontId="0" fillId="2" borderId="0" xfId="0" applyNumberFormat="1" applyFill="1" applyAlignment="1">
      <alignment horizontal="center"/>
    </xf>
    <xf numFmtId="164" fontId="3" fillId="0" borderId="0" xfId="0" applyNumberFormat="1" applyFont="1" applyAlignment="1">
      <alignment horizontal="left" wrapText="1"/>
    </xf>
    <xf numFmtId="164" fontId="3" fillId="0" borderId="0" xfId="0" applyNumberFormat="1" applyFont="1" applyAlignment="1">
      <alignment horizontal="center"/>
    </xf>
    <xf numFmtId="164" fontId="3" fillId="2" borderId="0" xfId="0" applyNumberFormat="1" applyFont="1" applyFill="1" applyAlignment="1">
      <alignment horizontal="center"/>
    </xf>
    <xf numFmtId="164" fontId="3" fillId="0" borderId="0" xfId="0" applyNumberFormat="1" applyFont="1" applyAlignment="1">
      <alignment wrapText="1"/>
    </xf>
    <xf numFmtId="164" fontId="3" fillId="0" borderId="0" xfId="0" applyNumberFormat="1" applyFont="1" applyAlignment="1">
      <alignment horizontal="left"/>
    </xf>
    <xf numFmtId="164" fontId="10" fillId="3" borderId="1" xfId="1" applyNumberFormat="1" applyAlignment="1">
      <alignment horizontal="center"/>
    </xf>
    <xf numFmtId="164" fontId="4" fillId="3" borderId="1" xfId="1" applyNumberFormat="1" applyFont="1" applyAlignment="1">
      <alignment horizontal="center"/>
    </xf>
    <xf numFmtId="164" fontId="7" fillId="0" borderId="0" xfId="0" applyNumberFormat="1" applyFont="1" applyAlignment="1">
      <alignment horizontal="center"/>
    </xf>
    <xf numFmtId="164" fontId="8" fillId="0" borderId="0" xfId="0" applyNumberFormat="1" applyFont="1" applyAlignment="1">
      <alignment horizontal="center"/>
    </xf>
    <xf numFmtId="0" fontId="5" fillId="0" borderId="0" xfId="0" applyFont="1" applyAlignment="1">
      <alignment horizontal="left" wrapText="1"/>
    </xf>
    <xf numFmtId="0" fontId="6" fillId="0" borderId="0" xfId="0" applyFont="1" applyAlignment="1">
      <alignment horizontal="center" wrapText="1"/>
    </xf>
    <xf numFmtId="0" fontId="5" fillId="2" borderId="0" xfId="0" applyFont="1" applyFill="1" applyAlignment="1">
      <alignment horizontal="center" wrapText="1"/>
    </xf>
    <xf numFmtId="0" fontId="7" fillId="0" borderId="0" xfId="0" applyFont="1" applyAlignment="1">
      <alignment horizontal="center" wrapText="1"/>
    </xf>
    <xf numFmtId="164" fontId="5" fillId="0" borderId="0" xfId="0" applyNumberFormat="1" applyFont="1" applyAlignment="1">
      <alignment horizontal="center" wrapText="1"/>
    </xf>
    <xf numFmtId="14" fontId="5" fillId="0" borderId="0" xfId="0" applyNumberFormat="1" applyFont="1" applyAlignment="1">
      <alignment horizontal="center" wrapText="1"/>
    </xf>
    <xf numFmtId="14" fontId="3" fillId="0" borderId="0" xfId="0" applyNumberFormat="1" applyFont="1" applyAlignment="1">
      <alignment horizontal="center"/>
    </xf>
    <xf numFmtId="164" fontId="3" fillId="4" borderId="0" xfId="0" applyNumberFormat="1" applyFont="1" applyFill="1" applyAlignment="1">
      <alignment wrapText="1"/>
    </xf>
    <xf numFmtId="164" fontId="3" fillId="4" borderId="0" xfId="0" applyNumberFormat="1" applyFont="1" applyFill="1" applyAlignment="1">
      <alignment horizontal="center"/>
    </xf>
    <xf numFmtId="164" fontId="7" fillId="4" borderId="0" xfId="0" applyNumberFormat="1" applyFont="1" applyFill="1" applyAlignment="1">
      <alignment horizontal="center"/>
    </xf>
    <xf numFmtId="14" fontId="3" fillId="4" borderId="0" xfId="0" applyNumberFormat="1" applyFont="1" applyFill="1" applyAlignment="1">
      <alignment horizontal="center"/>
    </xf>
    <xf numFmtId="164" fontId="10" fillId="4" borderId="1" xfId="1" applyNumberFormat="1" applyFill="1" applyAlignment="1">
      <alignment horizontal="center"/>
    </xf>
    <xf numFmtId="164" fontId="3" fillId="4" borderId="0" xfId="0" applyNumberFormat="1" applyFont="1" applyFill="1" applyAlignment="1">
      <alignment horizontal="left" wrapText="1"/>
    </xf>
    <xf numFmtId="164" fontId="4" fillId="4" borderId="1" xfId="1" applyNumberFormat="1" applyFont="1" applyFill="1" applyAlignment="1">
      <alignment horizontal="center"/>
    </xf>
    <xf numFmtId="0" fontId="14" fillId="0" borderId="0" xfId="0" applyFont="1" applyAlignment="1">
      <alignment horizontal="center" wrapText="1"/>
    </xf>
    <xf numFmtId="164" fontId="14" fillId="0" borderId="0" xfId="0" applyNumberFormat="1" applyFont="1" applyAlignment="1">
      <alignment horizontal="center" wrapText="1"/>
    </xf>
    <xf numFmtId="14" fontId="3" fillId="0" borderId="0" xfId="0" applyNumberFormat="1" applyFont="1" applyAlignment="1">
      <alignment horizontal="center" wrapText="1"/>
    </xf>
    <xf numFmtId="164" fontId="3" fillId="0" borderId="0" xfId="0" applyNumberFormat="1" applyFont="1" applyAlignment="1">
      <alignment horizontal="center" wrapText="1"/>
    </xf>
    <xf numFmtId="164" fontId="7" fillId="0" borderId="0" xfId="0" applyNumberFormat="1" applyFont="1" applyAlignment="1">
      <alignment horizontal="center" wrapText="1"/>
    </xf>
    <xf numFmtId="166" fontId="3" fillId="0" borderId="0" xfId="0" applyNumberFormat="1" applyFont="1" applyAlignment="1">
      <alignment horizontal="center"/>
    </xf>
    <xf numFmtId="0" fontId="0" fillId="0" borderId="0" xfId="0" applyAlignment="1">
      <alignment horizontal="center"/>
    </xf>
    <xf numFmtId="164" fontId="0" fillId="0" borderId="0" xfId="0" applyNumberFormat="1" applyAlignment="1">
      <alignment horizontal="center" wrapText="1"/>
    </xf>
    <xf numFmtId="0" fontId="5" fillId="0" borderId="2" xfId="0" applyFont="1" applyBorder="1" applyAlignment="1">
      <alignment horizontal="center" wrapText="1"/>
    </xf>
    <xf numFmtId="164" fontId="0" fillId="5" borderId="2" xfId="0" applyNumberFormat="1" applyFill="1" applyBorder="1" applyAlignment="1">
      <alignment horizontal="center"/>
    </xf>
    <xf numFmtId="0" fontId="5" fillId="2" borderId="2" xfId="0" applyFont="1" applyFill="1" applyBorder="1" applyAlignment="1">
      <alignment horizontal="center" wrapText="1"/>
    </xf>
    <xf numFmtId="164" fontId="0" fillId="2" borderId="2" xfId="0" applyNumberFormat="1" applyFill="1" applyBorder="1" applyAlignment="1">
      <alignment horizontal="center"/>
    </xf>
    <xf numFmtId="164" fontId="17" fillId="0" borderId="1" xfId="1" applyNumberFormat="1" applyFont="1" applyFill="1" applyAlignment="1">
      <alignment horizontal="center"/>
    </xf>
    <xf numFmtId="0" fontId="14" fillId="0" borderId="0" xfId="0" applyFont="1" applyAlignment="1">
      <alignment horizontal="left" wrapText="1"/>
    </xf>
    <xf numFmtId="164" fontId="0" fillId="0" borderId="0" xfId="0" applyNumberFormat="1" applyAlignment="1">
      <alignment horizontal="left"/>
    </xf>
    <xf numFmtId="164" fontId="0" fillId="0" borderId="0" xfId="0" applyNumberFormat="1" applyAlignment="1">
      <alignment horizontal="left" wrapText="1"/>
    </xf>
    <xf numFmtId="14" fontId="5" fillId="0" borderId="0" xfId="0" applyNumberFormat="1" applyFont="1" applyAlignment="1">
      <alignment horizontal="left" wrapText="1"/>
    </xf>
    <xf numFmtId="14" fontId="0" fillId="0" borderId="0" xfId="0" applyNumberFormat="1" applyAlignment="1">
      <alignment horizontal="left" wrapText="1"/>
    </xf>
    <xf numFmtId="164" fontId="9" fillId="0" borderId="0" xfId="0" applyNumberFormat="1" applyFont="1" applyAlignment="1">
      <alignment horizontal="center"/>
    </xf>
    <xf numFmtId="164" fontId="10" fillId="0" borderId="0" xfId="1" applyNumberFormat="1" applyFill="1" applyBorder="1" applyAlignment="1">
      <alignment horizontal="center"/>
    </xf>
    <xf numFmtId="164" fontId="4" fillId="0" borderId="0" xfId="1" applyNumberFormat="1" applyFont="1" applyFill="1" applyBorder="1" applyAlignment="1">
      <alignment horizontal="center"/>
    </xf>
    <xf numFmtId="164" fontId="11" fillId="0" borderId="0" xfId="1" applyNumberFormat="1" applyFont="1" applyFill="1" applyBorder="1" applyAlignment="1">
      <alignment horizontal="center"/>
    </xf>
    <xf numFmtId="14" fontId="9" fillId="0" borderId="0" xfId="0" applyNumberFormat="1" applyFont="1" applyAlignment="1">
      <alignment horizontal="center"/>
    </xf>
    <xf numFmtId="164" fontId="9" fillId="0" borderId="0" xfId="0" applyNumberFormat="1" applyFont="1" applyAlignment="1">
      <alignment horizontal="center" wrapText="1"/>
    </xf>
    <xf numFmtId="164" fontId="20" fillId="0" borderId="0" xfId="0" applyNumberFormat="1" applyFont="1" applyAlignment="1">
      <alignment horizontal="center"/>
    </xf>
    <xf numFmtId="14" fontId="20" fillId="0" borderId="0" xfId="0" applyNumberFormat="1" applyFont="1" applyAlignment="1">
      <alignment horizontal="center"/>
    </xf>
    <xf numFmtId="164" fontId="24" fillId="2" borderId="0" xfId="0" applyNumberFormat="1" applyFont="1" applyFill="1" applyAlignment="1">
      <alignment horizontal="center"/>
    </xf>
    <xf numFmtId="164" fontId="23" fillId="0" borderId="0" xfId="2" applyNumberFormat="1" applyFont="1" applyBorder="1" applyAlignment="1">
      <alignment horizontal="center" wrapText="1"/>
    </xf>
    <xf numFmtId="164" fontId="23" fillId="0" borderId="0" xfId="2" applyNumberFormat="1" applyFont="1" applyBorder="1" applyAlignment="1">
      <alignment horizontal="center"/>
    </xf>
    <xf numFmtId="164" fontId="24" fillId="0" borderId="0" xfId="0" applyNumberFormat="1" applyFont="1" applyAlignment="1">
      <alignment horizontal="center"/>
    </xf>
    <xf numFmtId="164" fontId="22" fillId="0" borderId="0" xfId="1" applyNumberFormat="1" applyFont="1" applyFill="1" applyBorder="1" applyAlignment="1">
      <alignment horizontal="center"/>
    </xf>
    <xf numFmtId="164" fontId="24" fillId="0" borderId="0" xfId="0" applyNumberFormat="1" applyFont="1" applyAlignment="1">
      <alignment horizontal="left"/>
    </xf>
    <xf numFmtId="164" fontId="24" fillId="0" borderId="0" xfId="0" applyNumberFormat="1" applyFont="1" applyAlignment="1">
      <alignment horizontal="left" wrapText="1"/>
    </xf>
    <xf numFmtId="0" fontId="6" fillId="0" borderId="0" xfId="0" applyFont="1" applyAlignment="1">
      <alignment horizontal="left" wrapText="1"/>
    </xf>
    <xf numFmtId="164" fontId="0" fillId="0" borderId="2" xfId="0" applyNumberFormat="1" applyBorder="1" applyAlignment="1">
      <alignment horizontal="center"/>
    </xf>
    <xf numFmtId="164" fontId="24" fillId="0" borderId="2" xfId="0" applyNumberFormat="1" applyFont="1" applyBorder="1" applyAlignment="1">
      <alignment horizontal="center"/>
    </xf>
    <xf numFmtId="14" fontId="5" fillId="0" borderId="2" xfId="0" applyNumberFormat="1" applyFont="1" applyBorder="1" applyAlignment="1">
      <alignment horizontal="center" wrapText="1"/>
    </xf>
    <xf numFmtId="0" fontId="0" fillId="0" borderId="2" xfId="0" applyBorder="1"/>
    <xf numFmtId="2" fontId="0" fillId="0" borderId="0" xfId="0" applyNumberFormat="1" applyAlignment="1">
      <alignment horizontal="center"/>
    </xf>
    <xf numFmtId="166" fontId="0" fillId="0" borderId="0" xfId="0" applyNumberFormat="1" applyAlignment="1">
      <alignment horizontal="center"/>
    </xf>
    <xf numFmtId="167" fontId="0" fillId="0" borderId="0" xfId="0" applyNumberFormat="1" applyAlignment="1">
      <alignment horizontal="center"/>
    </xf>
    <xf numFmtId="165" fontId="20" fillId="0" borderId="0" xfId="1" applyNumberFormat="1" applyFont="1" applyFill="1" applyBorder="1" applyAlignment="1">
      <alignment horizontal="center"/>
    </xf>
    <xf numFmtId="165" fontId="5" fillId="0" borderId="33" xfId="0" applyNumberFormat="1" applyFont="1" applyBorder="1" applyAlignment="1">
      <alignment horizontal="center" wrapText="1"/>
    </xf>
    <xf numFmtId="165" fontId="20" fillId="3" borderId="14" xfId="1" applyNumberFormat="1" applyFont="1" applyBorder="1" applyAlignment="1">
      <alignment horizontal="center"/>
    </xf>
    <xf numFmtId="165" fontId="20" fillId="4" borderId="8" xfId="1" applyNumberFormat="1" applyFont="1" applyFill="1" applyBorder="1" applyAlignment="1">
      <alignment horizontal="center"/>
    </xf>
    <xf numFmtId="165" fontId="20" fillId="5" borderId="8" xfId="1" applyNumberFormat="1" applyFont="1" applyFill="1" applyBorder="1" applyAlignment="1">
      <alignment horizontal="center"/>
    </xf>
    <xf numFmtId="0" fontId="28" fillId="0" borderId="40" xfId="0" applyFont="1" applyBorder="1"/>
    <xf numFmtId="0" fontId="0" fillId="0" borderId="42" xfId="0" applyBorder="1"/>
    <xf numFmtId="0" fontId="0" fillId="0" borderId="43" xfId="0" applyBorder="1" applyAlignment="1">
      <alignment horizontal="center"/>
    </xf>
    <xf numFmtId="0" fontId="0" fillId="0" borderId="44" xfId="0" applyBorder="1"/>
    <xf numFmtId="0" fontId="28" fillId="0" borderId="42" xfId="0" applyFont="1" applyBorder="1"/>
    <xf numFmtId="165" fontId="3" fillId="0" borderId="0" xfId="0" applyNumberFormat="1" applyFont="1" applyAlignment="1">
      <alignment horizontal="center"/>
    </xf>
    <xf numFmtId="165" fontId="20" fillId="0" borderId="0" xfId="0" applyNumberFormat="1" applyFont="1" applyAlignment="1">
      <alignment horizontal="center"/>
    </xf>
    <xf numFmtId="165" fontId="5" fillId="0" borderId="0" xfId="0" applyNumberFormat="1" applyFont="1" applyAlignment="1">
      <alignment horizontal="center" wrapText="1"/>
    </xf>
    <xf numFmtId="165" fontId="3" fillId="4" borderId="0" xfId="0" applyNumberFormat="1" applyFont="1" applyFill="1" applyAlignment="1">
      <alignment horizontal="center"/>
    </xf>
    <xf numFmtId="165" fontId="5" fillId="0" borderId="34" xfId="0" applyNumberFormat="1" applyFont="1" applyBorder="1" applyAlignment="1">
      <alignment horizontal="center" wrapText="1"/>
    </xf>
    <xf numFmtId="165" fontId="20" fillId="3" borderId="23" xfId="1" applyNumberFormat="1" applyFont="1" applyBorder="1" applyAlignment="1">
      <alignment horizontal="center"/>
    </xf>
    <xf numFmtId="165" fontId="20" fillId="4" borderId="24" xfId="1" applyNumberFormat="1" applyFont="1" applyFill="1" applyBorder="1" applyAlignment="1">
      <alignment horizontal="center"/>
    </xf>
    <xf numFmtId="165" fontId="20" fillId="5" borderId="24" xfId="1" applyNumberFormat="1" applyFont="1" applyFill="1" applyBorder="1" applyAlignment="1">
      <alignment horizontal="center"/>
    </xf>
    <xf numFmtId="164" fontId="20" fillId="0" borderId="0" xfId="1" applyNumberFormat="1" applyFont="1" applyFill="1" applyBorder="1" applyAlignment="1">
      <alignment horizontal="center"/>
    </xf>
    <xf numFmtId="164" fontId="3" fillId="0" borderId="0" xfId="1" applyNumberFormat="1" applyFont="1" applyFill="1" applyBorder="1" applyAlignment="1">
      <alignment horizontal="center"/>
    </xf>
    <xf numFmtId="165" fontId="3" fillId="0" borderId="0" xfId="1" applyNumberFormat="1" applyFont="1" applyFill="1" applyBorder="1" applyAlignment="1">
      <alignment horizontal="center"/>
    </xf>
    <xf numFmtId="165" fontId="22" fillId="0" borderId="0" xfId="1" applyNumberFormat="1" applyFont="1" applyFill="1" applyBorder="1" applyAlignment="1">
      <alignment horizontal="center"/>
    </xf>
    <xf numFmtId="165" fontId="4" fillId="0" borderId="0" xfId="1" applyNumberFormat="1" applyFont="1" applyFill="1" applyBorder="1" applyAlignment="1">
      <alignment horizontal="center"/>
    </xf>
    <xf numFmtId="0" fontId="19" fillId="0" borderId="31" xfId="0" applyFont="1" applyBorder="1" applyAlignment="1">
      <alignment horizontal="center" wrapText="1"/>
    </xf>
    <xf numFmtId="0" fontId="5" fillId="0" borderId="32" xfId="0" applyFont="1" applyBorder="1" applyAlignment="1">
      <alignment horizontal="center" wrapText="1"/>
    </xf>
    <xf numFmtId="0" fontId="5" fillId="0" borderId="33" xfId="0" applyFont="1" applyBorder="1" applyAlignment="1">
      <alignment horizontal="center" wrapText="1"/>
    </xf>
    <xf numFmtId="0" fontId="19" fillId="0" borderId="35" xfId="0" applyFont="1" applyBorder="1" applyAlignment="1">
      <alignment horizontal="center" wrapText="1"/>
    </xf>
    <xf numFmtId="164" fontId="19" fillId="0" borderId="35" xfId="0" applyNumberFormat="1" applyFont="1" applyBorder="1" applyAlignment="1">
      <alignment horizontal="center" wrapText="1"/>
    </xf>
    <xf numFmtId="0" fontId="9" fillId="0" borderId="35" xfId="0" applyFont="1" applyBorder="1" applyAlignment="1">
      <alignment horizontal="center" wrapText="1"/>
    </xf>
    <xf numFmtId="165" fontId="9" fillId="0" borderId="33" xfId="0" applyNumberFormat="1" applyFont="1" applyBorder="1" applyAlignment="1">
      <alignment horizontal="center" wrapText="1"/>
    </xf>
    <xf numFmtId="0" fontId="9" fillId="0" borderId="37" xfId="0" applyFont="1" applyBorder="1" applyAlignment="1">
      <alignment horizontal="center" wrapText="1"/>
    </xf>
    <xf numFmtId="164" fontId="5" fillId="0" borderId="35" xfId="0" applyNumberFormat="1" applyFont="1" applyBorder="1" applyAlignment="1">
      <alignment horizontal="center" wrapText="1"/>
    </xf>
    <xf numFmtId="165" fontId="5" fillId="0" borderId="36" xfId="0" applyNumberFormat="1" applyFont="1" applyBorder="1" applyAlignment="1">
      <alignment horizontal="center" wrapText="1"/>
    </xf>
    <xf numFmtId="164" fontId="20" fillId="3" borderId="14" xfId="1" applyNumberFormat="1" applyFont="1" applyBorder="1" applyAlignment="1">
      <alignment horizontal="center"/>
    </xf>
    <xf numFmtId="164" fontId="3" fillId="3" borderId="15" xfId="1" applyNumberFormat="1" applyFont="1" applyBorder="1" applyAlignment="1">
      <alignment horizontal="center"/>
    </xf>
    <xf numFmtId="165" fontId="3" fillId="3" borderId="16" xfId="1" applyNumberFormat="1" applyFont="1" applyBorder="1" applyAlignment="1">
      <alignment horizontal="center"/>
    </xf>
    <xf numFmtId="164" fontId="20" fillId="3" borderId="17" xfId="1" applyNumberFormat="1" applyFont="1" applyBorder="1" applyAlignment="1">
      <alignment horizontal="center"/>
    </xf>
    <xf numFmtId="164" fontId="3" fillId="3" borderId="14" xfId="1" applyNumberFormat="1" applyFont="1" applyBorder="1" applyAlignment="1">
      <alignment horizontal="center"/>
    </xf>
    <xf numFmtId="164" fontId="3" fillId="3" borderId="19" xfId="1" applyNumberFormat="1" applyFont="1" applyBorder="1" applyAlignment="1">
      <alignment horizontal="center"/>
    </xf>
    <xf numFmtId="165" fontId="3" fillId="3" borderId="23" xfId="1" applyNumberFormat="1" applyFont="1" applyBorder="1" applyAlignment="1">
      <alignment horizontal="center"/>
    </xf>
    <xf numFmtId="164" fontId="22" fillId="3" borderId="21" xfId="1" applyNumberFormat="1" applyFont="1" applyBorder="1" applyAlignment="1">
      <alignment horizontal="center"/>
    </xf>
    <xf numFmtId="165" fontId="22" fillId="3" borderId="19" xfId="1" applyNumberFormat="1" applyFont="1" applyBorder="1" applyAlignment="1">
      <alignment horizontal="center"/>
    </xf>
    <xf numFmtId="165" fontId="22" fillId="3" borderId="23" xfId="1" applyNumberFormat="1" applyFont="1" applyBorder="1" applyAlignment="1">
      <alignment horizontal="center"/>
    </xf>
    <xf numFmtId="164" fontId="4" fillId="3" borderId="14" xfId="1" applyNumberFormat="1" applyFont="1" applyBorder="1" applyAlignment="1">
      <alignment horizontal="center"/>
    </xf>
    <xf numFmtId="164" fontId="4" fillId="3" borderId="15" xfId="1" applyNumberFormat="1" applyFont="1" applyBorder="1" applyAlignment="1">
      <alignment horizontal="center"/>
    </xf>
    <xf numFmtId="165" fontId="4" fillId="3" borderId="18" xfId="1" applyNumberFormat="1" applyFont="1" applyBorder="1" applyAlignment="1">
      <alignment horizontal="center"/>
    </xf>
    <xf numFmtId="165" fontId="3" fillId="0" borderId="7" xfId="1" applyNumberFormat="1" applyFont="1" applyFill="1" applyBorder="1" applyAlignment="1">
      <alignment horizontal="center"/>
    </xf>
    <xf numFmtId="164" fontId="20" fillId="4" borderId="8" xfId="1" applyNumberFormat="1" applyFont="1" applyFill="1" applyBorder="1" applyAlignment="1">
      <alignment horizontal="center"/>
    </xf>
    <xf numFmtId="164" fontId="3" fillId="4" borderId="1" xfId="1" applyNumberFormat="1" applyFont="1" applyFill="1" applyAlignment="1">
      <alignment horizontal="center"/>
    </xf>
    <xf numFmtId="165" fontId="3" fillId="4" borderId="3" xfId="1" applyNumberFormat="1" applyFont="1" applyFill="1" applyBorder="1" applyAlignment="1">
      <alignment horizontal="center"/>
    </xf>
    <xf numFmtId="164" fontId="20" fillId="4" borderId="5" xfId="1" applyNumberFormat="1" applyFont="1" applyFill="1" applyBorder="1" applyAlignment="1">
      <alignment horizontal="center"/>
    </xf>
    <xf numFmtId="164" fontId="3" fillId="4" borderId="8" xfId="1" applyNumberFormat="1" applyFont="1" applyFill="1" applyBorder="1" applyAlignment="1">
      <alignment horizontal="center"/>
    </xf>
    <xf numFmtId="164" fontId="3" fillId="4" borderId="20" xfId="1" applyNumberFormat="1" applyFont="1" applyFill="1" applyBorder="1" applyAlignment="1">
      <alignment horizontal="center"/>
    </xf>
    <xf numFmtId="165" fontId="3" fillId="4" borderId="24" xfId="1" applyNumberFormat="1" applyFont="1" applyFill="1" applyBorder="1" applyAlignment="1">
      <alignment horizontal="center"/>
    </xf>
    <xf numFmtId="164" fontId="22" fillId="4" borderId="6" xfId="1" applyNumberFormat="1" applyFont="1" applyFill="1" applyBorder="1" applyAlignment="1">
      <alignment horizontal="center"/>
    </xf>
    <xf numFmtId="165" fontId="22" fillId="4" borderId="20" xfId="1" applyNumberFormat="1" applyFont="1" applyFill="1" applyBorder="1" applyAlignment="1">
      <alignment horizontal="center"/>
    </xf>
    <xf numFmtId="165" fontId="22" fillId="3" borderId="24" xfId="1" applyNumberFormat="1" applyFont="1" applyBorder="1" applyAlignment="1">
      <alignment horizontal="center"/>
    </xf>
    <xf numFmtId="164" fontId="4" fillId="4" borderId="8" xfId="1" applyNumberFormat="1" applyFont="1" applyFill="1" applyBorder="1" applyAlignment="1">
      <alignment horizontal="center"/>
    </xf>
    <xf numFmtId="165" fontId="4" fillId="4" borderId="9" xfId="1" applyNumberFormat="1" applyFont="1" applyFill="1" applyBorder="1" applyAlignment="1">
      <alignment horizontal="center"/>
    </xf>
    <xf numFmtId="164" fontId="20" fillId="3" borderId="8" xfId="1" applyNumberFormat="1" applyFont="1" applyBorder="1" applyAlignment="1">
      <alignment horizontal="center"/>
    </xf>
    <xf numFmtId="164" fontId="3" fillId="5" borderId="1" xfId="1" applyNumberFormat="1" applyFont="1" applyFill="1" applyAlignment="1">
      <alignment horizontal="center"/>
    </xf>
    <xf numFmtId="165" fontId="3" fillId="5" borderId="3" xfId="1" applyNumberFormat="1" applyFont="1" applyFill="1" applyBorder="1" applyAlignment="1">
      <alignment horizontal="center"/>
    </xf>
    <xf numFmtId="164" fontId="20" fillId="5" borderId="38" xfId="1" applyNumberFormat="1" applyFont="1" applyFill="1" applyBorder="1" applyAlignment="1">
      <alignment horizontal="center"/>
    </xf>
    <xf numFmtId="164" fontId="3" fillId="3" borderId="46" xfId="1" applyNumberFormat="1" applyFont="1" applyBorder="1" applyAlignment="1">
      <alignment horizontal="center"/>
    </xf>
    <xf numFmtId="164" fontId="3" fillId="3" borderId="4" xfId="1" applyNumberFormat="1" applyFont="1" applyBorder="1" applyAlignment="1">
      <alignment horizontal="center"/>
    </xf>
    <xf numFmtId="165" fontId="3" fillId="3" borderId="3" xfId="1" applyNumberFormat="1" applyFont="1" applyBorder="1" applyAlignment="1">
      <alignment horizontal="center"/>
    </xf>
    <xf numFmtId="164" fontId="3" fillId="3" borderId="20" xfId="1" applyNumberFormat="1" applyFont="1" applyBorder="1" applyAlignment="1">
      <alignment horizontal="center"/>
    </xf>
    <xf numFmtId="165" fontId="3" fillId="3" borderId="24" xfId="1" applyNumberFormat="1" applyFont="1" applyBorder="1" applyAlignment="1">
      <alignment horizontal="center"/>
    </xf>
    <xf numFmtId="164" fontId="22" fillId="3" borderId="6" xfId="1" applyNumberFormat="1" applyFont="1" applyBorder="1" applyAlignment="1">
      <alignment horizontal="center"/>
    </xf>
    <xf numFmtId="165" fontId="22" fillId="5" borderId="20" xfId="1" applyNumberFormat="1" applyFont="1" applyFill="1" applyBorder="1" applyAlignment="1">
      <alignment horizontal="center"/>
    </xf>
    <xf numFmtId="164" fontId="4" fillId="3" borderId="8" xfId="1" applyNumberFormat="1" applyFont="1" applyBorder="1" applyAlignment="1">
      <alignment horizontal="center"/>
    </xf>
    <xf numFmtId="165" fontId="4" fillId="3" borderId="9" xfId="1" applyNumberFormat="1" applyFont="1" applyBorder="1" applyAlignment="1">
      <alignment horizontal="center"/>
    </xf>
    <xf numFmtId="164" fontId="3" fillId="3" borderId="1" xfId="1" applyNumberFormat="1" applyFont="1" applyAlignment="1">
      <alignment horizontal="center"/>
    </xf>
    <xf numFmtId="164" fontId="20" fillId="3" borderId="5" xfId="1" applyNumberFormat="1" applyFont="1" applyBorder="1" applyAlignment="1">
      <alignment horizontal="center"/>
    </xf>
    <xf numFmtId="164" fontId="20" fillId="5" borderId="8" xfId="1" applyNumberFormat="1" applyFont="1" applyFill="1" applyBorder="1" applyAlignment="1">
      <alignment horizontal="center"/>
    </xf>
    <xf numFmtId="164" fontId="20" fillId="5" borderId="5" xfId="1" applyNumberFormat="1" applyFont="1" applyFill="1" applyBorder="1" applyAlignment="1">
      <alignment horizontal="center"/>
    </xf>
    <xf numFmtId="164" fontId="3" fillId="5" borderId="46" xfId="1" applyNumberFormat="1" applyFont="1" applyFill="1" applyBorder="1" applyAlignment="1">
      <alignment horizontal="center"/>
    </xf>
    <xf numFmtId="164" fontId="3" fillId="5" borderId="4" xfId="1" applyNumberFormat="1" applyFont="1" applyFill="1" applyBorder="1" applyAlignment="1">
      <alignment horizontal="center"/>
    </xf>
    <xf numFmtId="164" fontId="3" fillId="5" borderId="20" xfId="1" applyNumberFormat="1" applyFont="1" applyFill="1" applyBorder="1" applyAlignment="1">
      <alignment horizontal="center"/>
    </xf>
    <xf numFmtId="165" fontId="3" fillId="5" borderId="24" xfId="1" applyNumberFormat="1" applyFont="1" applyFill="1" applyBorder="1" applyAlignment="1">
      <alignment horizontal="center"/>
    </xf>
    <xf numFmtId="164" fontId="22" fillId="5" borderId="6" xfId="1" applyNumberFormat="1" applyFont="1" applyFill="1" applyBorder="1" applyAlignment="1">
      <alignment horizontal="center"/>
    </xf>
    <xf numFmtId="164" fontId="3" fillId="5" borderId="39" xfId="0" applyNumberFormat="1" applyFont="1" applyFill="1" applyBorder="1" applyAlignment="1">
      <alignment horizontal="center"/>
    </xf>
    <xf numFmtId="164" fontId="4" fillId="5" borderId="8" xfId="1" applyNumberFormat="1" applyFont="1" applyFill="1" applyBorder="1" applyAlignment="1">
      <alignment horizontal="center"/>
    </xf>
    <xf numFmtId="164" fontId="4" fillId="5" borderId="1" xfId="1" applyNumberFormat="1" applyFont="1" applyFill="1" applyAlignment="1">
      <alignment horizontal="center"/>
    </xf>
    <xf numFmtId="165" fontId="4" fillId="5" borderId="9" xfId="1" applyNumberFormat="1" applyFont="1" applyFill="1" applyBorder="1" applyAlignment="1">
      <alignment horizontal="center"/>
    </xf>
    <xf numFmtId="164" fontId="3" fillId="3" borderId="8" xfId="1" applyNumberFormat="1" applyFont="1" applyBorder="1" applyAlignment="1">
      <alignment horizontal="center"/>
    </xf>
    <xf numFmtId="0" fontId="29" fillId="2" borderId="0" xfId="0" applyFont="1" applyFill="1" applyAlignment="1">
      <alignment horizontal="left"/>
    </xf>
    <xf numFmtId="0" fontId="29" fillId="2" borderId="2" xfId="0" applyFont="1" applyFill="1" applyBorder="1" applyAlignment="1">
      <alignment horizontal="center"/>
    </xf>
    <xf numFmtId="0" fontId="31" fillId="0" borderId="26" xfId="0" applyFont="1" applyBorder="1" applyAlignment="1">
      <alignment wrapText="1"/>
    </xf>
    <xf numFmtId="0" fontId="31" fillId="0" borderId="28" xfId="0" applyFont="1" applyBorder="1" applyAlignment="1">
      <alignment wrapText="1"/>
    </xf>
    <xf numFmtId="0" fontId="32" fillId="0" borderId="0" xfId="0" applyFont="1" applyAlignment="1">
      <alignment wrapText="1"/>
    </xf>
    <xf numFmtId="0" fontId="33" fillId="0" borderId="0" xfId="0" applyFont="1" applyAlignment="1">
      <alignment horizontal="left"/>
    </xf>
    <xf numFmtId="14" fontId="0" fillId="0" borderId="0" xfId="0" applyNumberFormat="1" applyAlignment="1">
      <alignment horizontal="center" wrapText="1"/>
    </xf>
    <xf numFmtId="0" fontId="0" fillId="0" borderId="2" xfId="0" applyBorder="1" applyAlignment="1">
      <alignment horizontal="center"/>
    </xf>
    <xf numFmtId="14" fontId="0" fillId="0" borderId="43" xfId="0" applyNumberFormat="1" applyBorder="1" applyAlignment="1">
      <alignment horizontal="center"/>
    </xf>
    <xf numFmtId="166" fontId="0" fillId="0" borderId="43" xfId="0" applyNumberFormat="1" applyBorder="1" applyAlignment="1">
      <alignment horizontal="center"/>
    </xf>
    <xf numFmtId="8" fontId="0" fillId="0" borderId="43" xfId="0" applyNumberFormat="1" applyBorder="1" applyAlignment="1">
      <alignment horizontal="center"/>
    </xf>
    <xf numFmtId="0" fontId="0" fillId="0" borderId="45" xfId="0" applyBorder="1" applyAlignment="1">
      <alignment horizontal="center"/>
    </xf>
    <xf numFmtId="0" fontId="26" fillId="0" borderId="41" xfId="0" applyFont="1" applyBorder="1" applyAlignment="1">
      <alignment horizontal="center"/>
    </xf>
    <xf numFmtId="0" fontId="28" fillId="0" borderId="25" xfId="0" applyFont="1" applyBorder="1"/>
    <xf numFmtId="14" fontId="0" fillId="0" borderId="29" xfId="0" applyNumberFormat="1" applyBorder="1" applyAlignment="1">
      <alignment horizontal="center"/>
    </xf>
    <xf numFmtId="3" fontId="0" fillId="0" borderId="42" xfId="0" applyNumberFormat="1" applyBorder="1"/>
    <xf numFmtId="3" fontId="0" fillId="0" borderId="43" xfId="0" applyNumberFormat="1" applyBorder="1" applyAlignment="1">
      <alignment horizontal="center"/>
    </xf>
    <xf numFmtId="3" fontId="0" fillId="0" borderId="0" xfId="0" applyNumberFormat="1"/>
    <xf numFmtId="0" fontId="34" fillId="0" borderId="0" xfId="0" applyFont="1" applyAlignment="1">
      <alignment horizontal="center" wrapText="1"/>
    </xf>
    <xf numFmtId="164" fontId="18" fillId="0" borderId="0" xfId="0" applyNumberFormat="1" applyFont="1" applyAlignment="1">
      <alignment horizontal="center"/>
    </xf>
    <xf numFmtId="0" fontId="36" fillId="0" borderId="42" xfId="0" applyFont="1" applyBorder="1"/>
    <xf numFmtId="0" fontId="37" fillId="0" borderId="42" xfId="0" applyFont="1" applyBorder="1"/>
    <xf numFmtId="164" fontId="16" fillId="0" borderId="0" xfId="0" applyNumberFormat="1" applyFont="1" applyAlignment="1">
      <alignment horizontal="center"/>
    </xf>
    <xf numFmtId="165" fontId="3" fillId="5" borderId="8" xfId="1" applyNumberFormat="1" applyFont="1" applyFill="1" applyBorder="1" applyAlignment="1">
      <alignment horizontal="center"/>
    </xf>
    <xf numFmtId="164" fontId="3" fillId="3" borderId="5" xfId="1" applyNumberFormat="1" applyFont="1" applyBorder="1" applyAlignment="1">
      <alignment horizontal="center"/>
    </xf>
    <xf numFmtId="164" fontId="4" fillId="3" borderId="6" xfId="1" applyNumberFormat="1" applyFont="1" applyBorder="1" applyAlignment="1">
      <alignment horizontal="center"/>
    </xf>
    <xf numFmtId="165" fontId="4" fillId="5" borderId="20" xfId="1" applyNumberFormat="1" applyFont="1" applyFill="1" applyBorder="1" applyAlignment="1">
      <alignment horizontal="center"/>
    </xf>
    <xf numFmtId="165" fontId="4" fillId="3" borderId="24" xfId="1" applyNumberFormat="1" applyFont="1" applyBorder="1" applyAlignment="1">
      <alignment horizontal="center"/>
    </xf>
    <xf numFmtId="164" fontId="3" fillId="0" borderId="47" xfId="0" applyNumberFormat="1" applyFont="1" applyBorder="1" applyAlignment="1">
      <alignment horizontal="center"/>
    </xf>
    <xf numFmtId="14" fontId="17" fillId="0" borderId="0" xfId="0" applyNumberFormat="1" applyFont="1" applyAlignment="1">
      <alignment horizontal="center"/>
    </xf>
    <xf numFmtId="0" fontId="39" fillId="0" borderId="0" xfId="0" applyFont="1" applyAlignment="1">
      <alignment horizontal="center"/>
    </xf>
    <xf numFmtId="164" fontId="0" fillId="0" borderId="0" xfId="0" applyNumberFormat="1"/>
    <xf numFmtId="0" fontId="3" fillId="0" borderId="42" xfId="0" applyFont="1" applyBorder="1"/>
    <xf numFmtId="0" fontId="26" fillId="0" borderId="42" xfId="0" applyFont="1" applyBorder="1"/>
    <xf numFmtId="49" fontId="26" fillId="0" borderId="43" xfId="0" applyNumberFormat="1" applyFont="1" applyBorder="1" applyAlignment="1">
      <alignment horizontal="center"/>
    </xf>
    <xf numFmtId="0" fontId="3" fillId="0" borderId="41" xfId="0" applyFont="1" applyBorder="1" applyAlignment="1">
      <alignment horizontal="center"/>
    </xf>
    <xf numFmtId="14" fontId="3" fillId="0" borderId="43" xfId="0" applyNumberFormat="1" applyFont="1" applyBorder="1" applyAlignment="1">
      <alignment horizontal="center"/>
    </xf>
    <xf numFmtId="3" fontId="0" fillId="0" borderId="48" xfId="0" applyNumberFormat="1" applyBorder="1"/>
    <xf numFmtId="3" fontId="0" fillId="0" borderId="49" xfId="0" applyNumberFormat="1" applyBorder="1" applyAlignment="1">
      <alignment horizontal="center"/>
    </xf>
    <xf numFmtId="0" fontId="3" fillId="0" borderId="0" xfId="0" applyFont="1"/>
    <xf numFmtId="14" fontId="0" fillId="0" borderId="0" xfId="0" applyNumberFormat="1" applyAlignment="1">
      <alignment horizontal="center"/>
    </xf>
    <xf numFmtId="0" fontId="26" fillId="0" borderId="44" xfId="0" applyFont="1" applyBorder="1"/>
    <xf numFmtId="49" fontId="26" fillId="0" borderId="45" xfId="0" applyNumberFormat="1" applyFont="1" applyBorder="1" applyAlignment="1">
      <alignment horizontal="center"/>
    </xf>
    <xf numFmtId="0" fontId="0" fillId="0" borderId="30" xfId="0" applyBorder="1"/>
    <xf numFmtId="0" fontId="0" fillId="7" borderId="42" xfId="0" applyFill="1" applyBorder="1"/>
    <xf numFmtId="0" fontId="0" fillId="7" borderId="43" xfId="0" applyFill="1" applyBorder="1" applyAlignment="1">
      <alignment horizontal="center"/>
    </xf>
    <xf numFmtId="3" fontId="26" fillId="0" borderId="43" xfId="0" applyNumberFormat="1" applyFont="1" applyBorder="1" applyAlignment="1">
      <alignment horizontal="center"/>
    </xf>
    <xf numFmtId="0" fontId="26" fillId="0" borderId="43" xfId="0" applyFont="1" applyBorder="1" applyAlignment="1">
      <alignment horizontal="center"/>
    </xf>
    <xf numFmtId="0" fontId="3" fillId="0" borderId="44" xfId="0" applyFont="1" applyBorder="1"/>
    <xf numFmtId="49" fontId="3" fillId="0" borderId="45" xfId="0" applyNumberFormat="1" applyFont="1" applyBorder="1" applyAlignment="1">
      <alignment horizontal="center"/>
    </xf>
    <xf numFmtId="49" fontId="3" fillId="0" borderId="43" xfId="0" applyNumberFormat="1" applyFont="1" applyBorder="1" applyAlignment="1">
      <alignment horizontal="center"/>
    </xf>
    <xf numFmtId="0" fontId="0" fillId="0" borderId="22" xfId="0" applyBorder="1" applyAlignment="1">
      <alignment horizontal="center"/>
    </xf>
    <xf numFmtId="0" fontId="26" fillId="0" borderId="22" xfId="0" applyFont="1" applyBorder="1" applyAlignment="1">
      <alignment horizontal="center"/>
    </xf>
    <xf numFmtId="14" fontId="21" fillId="0" borderId="0" xfId="2" applyNumberFormat="1" applyBorder="1" applyAlignment="1">
      <alignment horizontal="center"/>
    </xf>
    <xf numFmtId="164" fontId="21" fillId="0" borderId="0" xfId="2" applyNumberFormat="1" applyBorder="1" applyAlignment="1">
      <alignment horizontal="center" wrapText="1"/>
    </xf>
    <xf numFmtId="164" fontId="21" fillId="0" borderId="0" xfId="2" applyNumberFormat="1" applyBorder="1" applyAlignment="1">
      <alignment horizontal="center"/>
    </xf>
    <xf numFmtId="1" fontId="0" fillId="0" borderId="43" xfId="0" applyNumberFormat="1" applyBorder="1" applyAlignment="1">
      <alignment horizontal="center"/>
    </xf>
    <xf numFmtId="1" fontId="0" fillId="0" borderId="42" xfId="0" applyNumberFormat="1" applyBorder="1"/>
    <xf numFmtId="1" fontId="0" fillId="0" borderId="0" xfId="0" applyNumberFormat="1" applyAlignment="1">
      <alignment horizontal="center"/>
    </xf>
    <xf numFmtId="1" fontId="0" fillId="0" borderId="0" xfId="0" applyNumberFormat="1"/>
    <xf numFmtId="164" fontId="10" fillId="3" borderId="50" xfId="1" applyNumberFormat="1" applyBorder="1" applyAlignment="1">
      <alignment horizontal="center"/>
    </xf>
    <xf numFmtId="14" fontId="29" fillId="0" borderId="0" xfId="0" applyNumberFormat="1" applyFont="1" applyAlignment="1">
      <alignment horizontal="center"/>
    </xf>
    <xf numFmtId="0" fontId="0" fillId="2" borderId="0" xfId="0" applyFill="1"/>
    <xf numFmtId="0" fontId="0" fillId="2" borderId="0" xfId="0" applyFill="1" applyAlignment="1">
      <alignment horizontal="center"/>
    </xf>
    <xf numFmtId="165" fontId="0" fillId="0" borderId="0" xfId="0" applyNumberFormat="1"/>
    <xf numFmtId="0" fontId="26" fillId="0" borderId="29" xfId="0" applyFont="1" applyBorder="1" applyAlignment="1">
      <alignment horizontal="center"/>
    </xf>
    <xf numFmtId="0" fontId="10" fillId="0" borderId="25" xfId="0" applyFont="1" applyBorder="1"/>
    <xf numFmtId="0" fontId="10" fillId="0" borderId="44" xfId="0" applyFont="1" applyBorder="1"/>
    <xf numFmtId="14" fontId="0" fillId="0" borderId="45" xfId="0" applyNumberFormat="1" applyBorder="1" applyAlignment="1">
      <alignment horizontal="center"/>
    </xf>
    <xf numFmtId="168" fontId="40" fillId="0" borderId="0" xfId="0" applyNumberFormat="1" applyFont="1" applyAlignment="1">
      <alignment horizontal="center"/>
    </xf>
    <xf numFmtId="168" fontId="41" fillId="0" borderId="0" xfId="0" applyNumberFormat="1" applyFont="1" applyAlignment="1">
      <alignment horizontal="center"/>
    </xf>
    <xf numFmtId="168" fontId="41" fillId="2" borderId="0" xfId="0" applyNumberFormat="1" applyFont="1" applyFill="1" applyAlignment="1">
      <alignment horizontal="left"/>
    </xf>
    <xf numFmtId="14" fontId="40" fillId="0" borderId="0" xfId="0" applyNumberFormat="1" applyFont="1" applyAlignment="1">
      <alignment horizontal="center"/>
    </xf>
    <xf numFmtId="168" fontId="41" fillId="0" borderId="0" xfId="0" applyNumberFormat="1" applyFont="1" applyAlignment="1">
      <alignment horizontal="left"/>
    </xf>
    <xf numFmtId="168" fontId="41" fillId="2" borderId="2" xfId="0" applyNumberFormat="1" applyFont="1" applyFill="1" applyBorder="1" applyAlignment="1">
      <alignment horizontal="center"/>
    </xf>
    <xf numFmtId="168" fontId="41" fillId="0" borderId="0" xfId="0" applyNumberFormat="1" applyFont="1" applyAlignment="1">
      <alignment wrapText="1"/>
    </xf>
    <xf numFmtId="168" fontId="41" fillId="0" borderId="7" xfId="0" applyNumberFormat="1" applyFont="1" applyBorder="1" applyAlignment="1">
      <alignment wrapText="1"/>
    </xf>
    <xf numFmtId="168" fontId="41" fillId="0" borderId="0" xfId="0" applyNumberFormat="1" applyFont="1" applyAlignment="1">
      <alignment horizontal="center" wrapText="1"/>
    </xf>
    <xf numFmtId="168" fontId="41" fillId="0" borderId="43" xfId="0" applyNumberFormat="1" applyFont="1" applyBorder="1" applyAlignment="1">
      <alignment horizontal="center" wrapText="1"/>
    </xf>
    <xf numFmtId="2" fontId="20" fillId="0" borderId="0" xfId="0" applyNumberFormat="1" applyFont="1" applyAlignment="1">
      <alignment horizontal="center"/>
    </xf>
    <xf numFmtId="2" fontId="3" fillId="0" borderId="0" xfId="0" applyNumberFormat="1" applyFont="1" applyAlignment="1">
      <alignment horizontal="center"/>
    </xf>
    <xf numFmtId="2" fontId="7" fillId="0" borderId="0" xfId="0" applyNumberFormat="1" applyFont="1" applyAlignment="1">
      <alignment horizontal="center"/>
    </xf>
    <xf numFmtId="2" fontId="20" fillId="2" borderId="0" xfId="0" applyNumberFormat="1" applyFont="1" applyFill="1" applyAlignment="1">
      <alignment horizontal="left"/>
    </xf>
    <xf numFmtId="2" fontId="20" fillId="0" borderId="0" xfId="0" applyNumberFormat="1" applyFont="1" applyAlignment="1">
      <alignment horizontal="center" wrapText="1"/>
    </xf>
    <xf numFmtId="2" fontId="20" fillId="0" borderId="0" xfId="0" applyNumberFormat="1" applyFont="1" applyAlignment="1">
      <alignment horizontal="left"/>
    </xf>
    <xf numFmtId="2" fontId="20" fillId="0" borderId="2" xfId="0" applyNumberFormat="1" applyFont="1" applyBorder="1" applyAlignment="1">
      <alignment horizontal="left"/>
    </xf>
    <xf numFmtId="2" fontId="20" fillId="2" borderId="2" xfId="0" applyNumberFormat="1" applyFont="1" applyFill="1" applyBorder="1" applyAlignment="1">
      <alignment horizontal="left"/>
    </xf>
    <xf numFmtId="2" fontId="24" fillId="0" borderId="0" xfId="0" applyNumberFormat="1" applyFont="1" applyAlignment="1">
      <alignment horizontal="left" wrapText="1"/>
    </xf>
    <xf numFmtId="2" fontId="24" fillId="0" borderId="0" xfId="0" applyNumberFormat="1" applyFont="1" applyAlignment="1">
      <alignment horizontal="left"/>
    </xf>
    <xf numFmtId="1" fontId="20" fillId="0" borderId="0" xfId="0" applyNumberFormat="1" applyFont="1" applyAlignment="1">
      <alignment horizontal="center"/>
    </xf>
    <xf numFmtId="1" fontId="7" fillId="0" borderId="0" xfId="0" applyNumberFormat="1" applyFont="1" applyAlignment="1">
      <alignment horizontal="center"/>
    </xf>
    <xf numFmtId="1" fontId="20" fillId="2" borderId="0" xfId="0" applyNumberFormat="1" applyFont="1" applyFill="1" applyAlignment="1">
      <alignment horizontal="left"/>
    </xf>
    <xf numFmtId="1" fontId="20" fillId="0" borderId="0" xfId="0" applyNumberFormat="1" applyFont="1" applyAlignment="1">
      <alignment horizontal="center" wrapText="1"/>
    </xf>
    <xf numFmtId="1" fontId="20" fillId="0" borderId="0" xfId="0" applyNumberFormat="1" applyFont="1" applyAlignment="1">
      <alignment horizontal="left"/>
    </xf>
    <xf numFmtId="1" fontId="20" fillId="0" borderId="2" xfId="0" applyNumberFormat="1" applyFont="1" applyBorder="1" applyAlignment="1">
      <alignment horizontal="left"/>
    </xf>
    <xf numFmtId="1" fontId="20" fillId="2" borderId="2" xfId="0" applyNumberFormat="1" applyFont="1" applyFill="1" applyBorder="1" applyAlignment="1">
      <alignment horizontal="left"/>
    </xf>
    <xf numFmtId="1" fontId="3" fillId="0" borderId="22" xfId="0" applyNumberFormat="1" applyFont="1" applyBorder="1" applyAlignment="1">
      <alignment horizontal="center" wrapText="1"/>
    </xf>
    <xf numFmtId="1" fontId="24" fillId="0" borderId="0" xfId="0" applyNumberFormat="1" applyFont="1" applyAlignment="1">
      <alignment horizontal="left" wrapText="1"/>
    </xf>
    <xf numFmtId="1" fontId="24" fillId="0" borderId="0" xfId="0" applyNumberFormat="1" applyFont="1" applyAlignment="1">
      <alignment horizontal="left"/>
    </xf>
    <xf numFmtId="2" fontId="3" fillId="0" borderId="42" xfId="0" applyNumberFormat="1" applyFont="1" applyBorder="1" applyAlignment="1">
      <alignment horizontal="center" wrapText="1"/>
    </xf>
    <xf numFmtId="2" fontId="3" fillId="0" borderId="0" xfId="0" applyNumberFormat="1" applyFont="1" applyAlignment="1">
      <alignment horizontal="center" wrapText="1"/>
    </xf>
    <xf numFmtId="2" fontId="3" fillId="0" borderId="2" xfId="0" applyNumberFormat="1" applyFont="1" applyBorder="1" applyAlignment="1">
      <alignment horizontal="center" wrapText="1"/>
    </xf>
    <xf numFmtId="2" fontId="3" fillId="0" borderId="7" xfId="0" applyNumberFormat="1" applyFont="1" applyBorder="1" applyAlignment="1">
      <alignment horizontal="center" wrapText="1"/>
    </xf>
    <xf numFmtId="2" fontId="3" fillId="0" borderId="51" xfId="0" applyNumberFormat="1" applyFont="1" applyBorder="1" applyAlignment="1">
      <alignment horizontal="center" wrapText="1"/>
    </xf>
    <xf numFmtId="2" fontId="3" fillId="0" borderId="43" xfId="0" applyNumberFormat="1" applyFont="1" applyBorder="1" applyAlignment="1">
      <alignment horizontal="center" wrapText="1"/>
    </xf>
    <xf numFmtId="0" fontId="0" fillId="0" borderId="52" xfId="0" applyBorder="1"/>
    <xf numFmtId="3" fontId="0" fillId="0" borderId="52" xfId="0" applyNumberFormat="1" applyBorder="1"/>
    <xf numFmtId="1" fontId="0" fillId="0" borderId="52" xfId="0" applyNumberFormat="1" applyBorder="1"/>
    <xf numFmtId="3" fontId="0" fillId="2" borderId="0" xfId="0" applyNumberFormat="1" applyFill="1"/>
    <xf numFmtId="1" fontId="0" fillId="2" borderId="0" xfId="0" applyNumberFormat="1" applyFill="1"/>
    <xf numFmtId="0" fontId="0" fillId="0" borderId="53" xfId="0" applyBorder="1"/>
    <xf numFmtId="1" fontId="3" fillId="0" borderId="0" xfId="0" applyNumberFormat="1" applyFont="1" applyAlignment="1">
      <alignment horizontal="center" wrapText="1"/>
    </xf>
    <xf numFmtId="0" fontId="43" fillId="0" borderId="0" xfId="0" applyFont="1" applyAlignment="1">
      <alignment horizontal="center" wrapText="1"/>
    </xf>
    <xf numFmtId="164" fontId="10" fillId="3" borderId="15" xfId="1" applyNumberFormat="1" applyBorder="1" applyAlignment="1">
      <alignment horizontal="center"/>
    </xf>
    <xf numFmtId="165" fontId="20" fillId="5" borderId="14" xfId="1" applyNumberFormat="1" applyFont="1" applyFill="1" applyBorder="1" applyAlignment="1">
      <alignment horizontal="center"/>
    </xf>
    <xf numFmtId="165" fontId="20" fillId="5" borderId="23" xfId="1" applyNumberFormat="1" applyFont="1" applyFill="1" applyBorder="1" applyAlignment="1">
      <alignment horizontal="center"/>
    </xf>
    <xf numFmtId="164" fontId="3" fillId="3" borderId="55" xfId="1" applyNumberFormat="1" applyFont="1" applyBorder="1" applyAlignment="1">
      <alignment horizontal="center"/>
    </xf>
    <xf numFmtId="164" fontId="3" fillId="3" borderId="56" xfId="1" applyNumberFormat="1" applyFont="1" applyBorder="1" applyAlignment="1">
      <alignment horizontal="center"/>
    </xf>
    <xf numFmtId="165" fontId="22" fillId="5" borderId="19" xfId="1" applyNumberFormat="1" applyFont="1" applyFill="1" applyBorder="1" applyAlignment="1">
      <alignment horizontal="center"/>
    </xf>
    <xf numFmtId="14" fontId="0" fillId="0" borderId="57" xfId="0" applyNumberFormat="1" applyBorder="1" applyAlignment="1">
      <alignment horizontal="center"/>
    </xf>
    <xf numFmtId="164" fontId="0" fillId="0" borderId="57" xfId="0" applyNumberFormat="1" applyBorder="1" applyAlignment="1">
      <alignment horizontal="center"/>
    </xf>
    <xf numFmtId="164" fontId="3" fillId="0" borderId="57" xfId="0" applyNumberFormat="1" applyFont="1" applyBorder="1" applyAlignment="1">
      <alignment horizontal="center"/>
    </xf>
    <xf numFmtId="164" fontId="10" fillId="3" borderId="58" xfId="1" applyNumberFormat="1" applyBorder="1" applyAlignment="1">
      <alignment horizontal="center"/>
    </xf>
    <xf numFmtId="164" fontId="0" fillId="2" borderId="57" xfId="0" applyNumberFormat="1" applyFill="1" applyBorder="1" applyAlignment="1">
      <alignment horizontal="center"/>
    </xf>
    <xf numFmtId="164" fontId="10" fillId="3" borderId="59" xfId="1" applyNumberFormat="1" applyBorder="1" applyAlignment="1">
      <alignment horizontal="center"/>
    </xf>
    <xf numFmtId="164" fontId="0" fillId="2" borderId="60" xfId="0" applyNumberFormat="1" applyFill="1" applyBorder="1" applyAlignment="1">
      <alignment horizontal="center"/>
    </xf>
    <xf numFmtId="164" fontId="20" fillId="3" borderId="61" xfId="1" applyNumberFormat="1" applyFont="1" applyBorder="1" applyAlignment="1">
      <alignment horizontal="center"/>
    </xf>
    <xf numFmtId="164" fontId="20" fillId="5" borderId="61" xfId="1" applyNumberFormat="1" applyFont="1" applyFill="1" applyBorder="1" applyAlignment="1">
      <alignment horizontal="center"/>
    </xf>
    <xf numFmtId="164" fontId="3" fillId="3" borderId="59" xfId="1" applyNumberFormat="1" applyFont="1" applyBorder="1" applyAlignment="1">
      <alignment horizontal="center"/>
    </xf>
    <xf numFmtId="164" fontId="3" fillId="3" borderId="62" xfId="1" applyNumberFormat="1" applyFont="1" applyBorder="1" applyAlignment="1">
      <alignment horizontal="center"/>
    </xf>
    <xf numFmtId="164" fontId="20" fillId="3" borderId="63" xfId="1" applyNumberFormat="1" applyFont="1" applyBorder="1" applyAlignment="1">
      <alignment horizontal="center"/>
    </xf>
    <xf numFmtId="164" fontId="20" fillId="5" borderId="64" xfId="1" applyNumberFormat="1" applyFont="1" applyFill="1" applyBorder="1" applyAlignment="1">
      <alignment horizontal="center"/>
    </xf>
    <xf numFmtId="164" fontId="3" fillId="3" borderId="65" xfId="1" applyNumberFormat="1" applyFont="1" applyBorder="1" applyAlignment="1">
      <alignment horizontal="center"/>
    </xf>
    <xf numFmtId="164" fontId="3" fillId="3" borderId="66" xfId="1" applyNumberFormat="1" applyFont="1" applyBorder="1" applyAlignment="1">
      <alignment horizontal="center"/>
    </xf>
    <xf numFmtId="164" fontId="3" fillId="3" borderId="67" xfId="1" applyNumberFormat="1" applyFont="1" applyBorder="1" applyAlignment="1">
      <alignment horizontal="center"/>
    </xf>
    <xf numFmtId="164" fontId="22" fillId="3" borderId="68" xfId="1" applyNumberFormat="1" applyFont="1" applyBorder="1" applyAlignment="1">
      <alignment horizontal="center"/>
    </xf>
    <xf numFmtId="164" fontId="22" fillId="5" borderId="67" xfId="1" applyNumberFormat="1" applyFont="1" applyFill="1" applyBorder="1" applyAlignment="1">
      <alignment horizontal="center"/>
    </xf>
    <xf numFmtId="164" fontId="22" fillId="3" borderId="64" xfId="1" applyNumberFormat="1" applyFont="1" applyBorder="1" applyAlignment="1">
      <alignment horizontal="center"/>
    </xf>
    <xf numFmtId="164" fontId="4" fillId="3" borderId="61" xfId="1" applyNumberFormat="1" applyFont="1" applyBorder="1" applyAlignment="1">
      <alignment horizontal="center"/>
    </xf>
    <xf numFmtId="164" fontId="4" fillId="3" borderId="59" xfId="1" applyNumberFormat="1" applyFont="1" applyBorder="1" applyAlignment="1">
      <alignment horizontal="center"/>
    </xf>
    <xf numFmtId="164" fontId="4" fillId="3" borderId="69" xfId="1" applyNumberFormat="1" applyFont="1" applyBorder="1" applyAlignment="1">
      <alignment horizontal="center"/>
    </xf>
    <xf numFmtId="164" fontId="3" fillId="0" borderId="57" xfId="1" applyNumberFormat="1" applyFont="1" applyFill="1" applyBorder="1" applyAlignment="1">
      <alignment horizontal="center"/>
    </xf>
    <xf numFmtId="164" fontId="3" fillId="0" borderId="54" xfId="1" applyNumberFormat="1" applyFont="1" applyFill="1" applyBorder="1" applyAlignment="1">
      <alignment horizontal="center"/>
    </xf>
    <xf numFmtId="164" fontId="44" fillId="0" borderId="57" xfId="0" applyNumberFormat="1" applyFont="1" applyBorder="1" applyAlignment="1">
      <alignment horizontal="center"/>
    </xf>
    <xf numFmtId="0" fontId="0" fillId="0" borderId="0" xfId="0" applyAlignment="1">
      <alignment horizontal="left"/>
    </xf>
    <xf numFmtId="0" fontId="0" fillId="0" borderId="0" xfId="0" applyAlignment="1">
      <alignment horizontal="left" wrapText="1"/>
    </xf>
    <xf numFmtId="10" fontId="0" fillId="0" borderId="0" xfId="0" applyNumberFormat="1" applyAlignment="1">
      <alignment horizontal="center" vertical="center"/>
    </xf>
    <xf numFmtId="164" fontId="0" fillId="0" borderId="37" xfId="0" applyNumberFormat="1" applyBorder="1" applyAlignment="1">
      <alignment horizontal="center"/>
    </xf>
    <xf numFmtId="0" fontId="46" fillId="0" borderId="0" xfId="0" applyFont="1" applyAlignment="1">
      <alignment horizontal="center" vertical="center" wrapText="1"/>
    </xf>
    <xf numFmtId="164" fontId="0" fillId="0" borderId="0" xfId="0" applyNumberFormat="1" applyAlignment="1">
      <alignment horizontal="center" vertical="center"/>
    </xf>
    <xf numFmtId="164" fontId="24" fillId="0" borderId="0" xfId="0" applyNumberFormat="1" applyFont="1" applyAlignment="1">
      <alignment horizontal="center" vertical="center"/>
    </xf>
    <xf numFmtId="0" fontId="32" fillId="0" borderId="0" xfId="0" applyFont="1" applyAlignment="1">
      <alignment vertical="center" wrapText="1"/>
    </xf>
    <xf numFmtId="168" fontId="41" fillId="0" borderId="0" xfId="0" applyNumberFormat="1" applyFont="1" applyAlignment="1">
      <alignment vertical="center" wrapText="1"/>
    </xf>
    <xf numFmtId="1" fontId="24" fillId="0" borderId="0" xfId="0" applyNumberFormat="1" applyFont="1" applyAlignment="1">
      <alignment horizontal="left" vertical="center"/>
    </xf>
    <xf numFmtId="2" fontId="24" fillId="0" borderId="0" xfId="0" applyNumberFormat="1" applyFont="1" applyAlignment="1">
      <alignment horizontal="left" vertical="center"/>
    </xf>
    <xf numFmtId="164" fontId="3" fillId="0" borderId="0" xfId="0" applyNumberFormat="1" applyFont="1" applyAlignment="1">
      <alignment horizontal="center" vertical="center"/>
    </xf>
    <xf numFmtId="0" fontId="0" fillId="0" borderId="0" xfId="0" applyAlignment="1">
      <alignment horizontal="center" vertical="center"/>
    </xf>
    <xf numFmtId="0" fontId="0" fillId="0" borderId="0" xfId="0" applyAlignment="1">
      <alignment vertical="center"/>
    </xf>
    <xf numFmtId="0" fontId="45" fillId="0" borderId="0" xfId="0" applyFont="1" applyAlignment="1">
      <alignment horizontal="center" vertical="center"/>
    </xf>
    <xf numFmtId="14" fontId="0" fillId="0" borderId="0" xfId="0" applyNumberFormat="1"/>
    <xf numFmtId="2" fontId="0" fillId="0" borderId="0" xfId="0" applyNumberFormat="1"/>
    <xf numFmtId="14" fontId="39" fillId="0" borderId="0" xfId="0" applyNumberFormat="1" applyFont="1"/>
    <xf numFmtId="14" fontId="27" fillId="0" borderId="0" xfId="0" applyNumberFormat="1" applyFont="1" applyAlignment="1">
      <alignment horizontal="center"/>
    </xf>
    <xf numFmtId="2" fontId="27" fillId="0" borderId="0" xfId="0" applyNumberFormat="1" applyFont="1" applyAlignment="1">
      <alignment horizontal="center"/>
    </xf>
    <xf numFmtId="0" fontId="0" fillId="0" borderId="0" xfId="0" applyAlignment="1">
      <alignment horizontal="left" vertical="center"/>
    </xf>
    <xf numFmtId="0" fontId="0" fillId="0" borderId="0" xfId="0" applyAlignment="1">
      <alignment horizontal="right" vertical="center"/>
    </xf>
    <xf numFmtId="0" fontId="0" fillId="0" borderId="70" xfId="0" applyBorder="1" applyAlignment="1">
      <alignment horizontal="left" vertical="center"/>
    </xf>
    <xf numFmtId="0" fontId="0" fillId="2" borderId="0" xfId="0" applyFill="1" applyAlignment="1">
      <alignment horizontal="center" vertical="center"/>
    </xf>
    <xf numFmtId="164" fontId="0" fillId="0" borderId="2" xfId="0" applyNumberFormat="1" applyBorder="1" applyAlignment="1">
      <alignment horizontal="center" vertical="center"/>
    </xf>
    <xf numFmtId="0" fontId="27" fillId="0" borderId="0" xfId="0" applyFont="1" applyAlignment="1">
      <alignment vertical="center"/>
    </xf>
    <xf numFmtId="0" fontId="27" fillId="0" borderId="10" xfId="0" applyFont="1" applyBorder="1" applyAlignment="1">
      <alignment horizontal="left" vertical="center"/>
    </xf>
    <xf numFmtId="0" fontId="27" fillId="0" borderId="11"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75" xfId="0" applyFont="1" applyBorder="1" applyAlignment="1">
      <alignment horizontal="center" vertical="center" wrapText="1"/>
    </xf>
    <xf numFmtId="0" fontId="27" fillId="0" borderId="11" xfId="0" applyFont="1" applyBorder="1" applyAlignment="1">
      <alignment horizontal="center" vertical="center"/>
    </xf>
    <xf numFmtId="0" fontId="27" fillId="0" borderId="10" xfId="0" applyFont="1" applyBorder="1" applyAlignment="1">
      <alignment horizontal="center" vertical="center"/>
    </xf>
    <xf numFmtId="168" fontId="27" fillId="0" borderId="10" xfId="0" applyNumberFormat="1" applyFont="1" applyBorder="1" applyAlignment="1">
      <alignment horizontal="center" vertical="center" wrapText="1"/>
    </xf>
    <xf numFmtId="0" fontId="27" fillId="0" borderId="75" xfId="0" applyFont="1" applyBorder="1" applyAlignment="1">
      <alignment horizontal="center" vertical="center"/>
    </xf>
    <xf numFmtId="164" fontId="39" fillId="0" borderId="11" xfId="0" applyNumberFormat="1" applyFont="1" applyBorder="1" applyAlignment="1">
      <alignment horizontal="center" vertical="center" wrapText="1"/>
    </xf>
    <xf numFmtId="164" fontId="39" fillId="0" borderId="10" xfId="0" applyNumberFormat="1" applyFont="1" applyBorder="1" applyAlignment="1">
      <alignment horizontal="center" vertical="center" wrapText="1"/>
    </xf>
    <xf numFmtId="0" fontId="27" fillId="0" borderId="75" xfId="0" applyFont="1" applyBorder="1" applyAlignment="1">
      <alignment vertical="center"/>
    </xf>
    <xf numFmtId="10" fontId="39" fillId="0" borderId="10" xfId="0" applyNumberFormat="1" applyFont="1" applyBorder="1" applyAlignment="1">
      <alignment horizontal="center" vertical="center" wrapText="1"/>
    </xf>
    <xf numFmtId="10" fontId="0" fillId="0" borderId="2" xfId="0" applyNumberFormat="1" applyBorder="1" applyAlignment="1">
      <alignment horizontal="center" vertical="center" wrapText="1"/>
    </xf>
    <xf numFmtId="164" fontId="0" fillId="0" borderId="0" xfId="0" applyNumberFormat="1" applyAlignment="1">
      <alignment horizontal="center" vertical="center" wrapText="1"/>
    </xf>
    <xf numFmtId="10" fontId="0" fillId="9" borderId="2" xfId="0" applyNumberFormat="1" applyFill="1" applyBorder="1" applyAlignment="1">
      <alignment horizontal="center" vertical="center"/>
    </xf>
    <xf numFmtId="10" fontId="42" fillId="10" borderId="2" xfId="0" applyNumberFormat="1" applyFont="1" applyFill="1" applyBorder="1" applyAlignment="1">
      <alignment horizontal="center" vertical="center"/>
    </xf>
    <xf numFmtId="0" fontId="0" fillId="0" borderId="2" xfId="0" quotePrefix="1" applyBorder="1" applyAlignment="1">
      <alignment horizontal="center" vertical="center"/>
    </xf>
    <xf numFmtId="0" fontId="0" fillId="0" borderId="0" xfId="0" quotePrefix="1" applyAlignment="1">
      <alignment horizontal="center" vertical="center"/>
    </xf>
    <xf numFmtId="10" fontId="0" fillId="12" borderId="2" xfId="0" applyNumberFormat="1" applyFill="1" applyBorder="1" applyAlignment="1">
      <alignment horizontal="center" vertical="center"/>
    </xf>
    <xf numFmtId="10" fontId="0" fillId="8" borderId="2" xfId="0" applyNumberFormat="1" applyFill="1" applyBorder="1" applyAlignment="1">
      <alignment horizontal="center" vertical="center"/>
    </xf>
    <xf numFmtId="10" fontId="0" fillId="11" borderId="2" xfId="0" applyNumberFormat="1" applyFill="1" applyBorder="1" applyAlignment="1">
      <alignment horizontal="center" vertical="center"/>
    </xf>
    <xf numFmtId="9" fontId="0" fillId="0" borderId="2" xfId="0" applyNumberFormat="1" applyBorder="1" applyAlignment="1">
      <alignment horizontal="center" vertical="center" wrapText="1"/>
    </xf>
    <xf numFmtId="0" fontId="0" fillId="0" borderId="0" xfId="0" quotePrefix="1" applyAlignment="1">
      <alignment horizontal="center" vertical="center" wrapText="1"/>
    </xf>
    <xf numFmtId="1" fontId="0" fillId="0" borderId="0" xfId="0" applyNumberFormat="1" applyAlignment="1">
      <alignment horizontal="center" vertical="center" wrapText="1"/>
    </xf>
    <xf numFmtId="0" fontId="0" fillId="7" borderId="0" xfId="0" applyFill="1" applyAlignment="1">
      <alignment horizontal="center" vertical="center"/>
    </xf>
    <xf numFmtId="10" fontId="27" fillId="0" borderId="75" xfId="0" applyNumberFormat="1" applyFont="1" applyBorder="1" applyAlignment="1">
      <alignment horizontal="center" vertical="center" wrapText="1"/>
    </xf>
    <xf numFmtId="10" fontId="0" fillId="0" borderId="47" xfId="0" applyNumberFormat="1" applyBorder="1" applyAlignment="1">
      <alignment horizontal="center" vertical="center" wrapText="1"/>
    </xf>
    <xf numFmtId="10" fontId="0" fillId="0" borderId="70" xfId="0" applyNumberFormat="1" applyBorder="1" applyAlignment="1">
      <alignment vertical="center"/>
    </xf>
    <xf numFmtId="0" fontId="39" fillId="0" borderId="0" xfId="0" applyFont="1" applyAlignment="1">
      <alignment vertical="center"/>
    </xf>
    <xf numFmtId="14" fontId="39" fillId="0" borderId="74" xfId="0" applyNumberFormat="1" applyFont="1" applyBorder="1" applyAlignment="1">
      <alignment horizontal="center" vertical="center"/>
    </xf>
    <xf numFmtId="14" fontId="39" fillId="0" borderId="0" xfId="0" applyNumberFormat="1" applyFont="1" applyAlignment="1">
      <alignment vertical="center"/>
    </xf>
    <xf numFmtId="0" fontId="39" fillId="9" borderId="10" xfId="0" applyFont="1" applyFill="1" applyBorder="1"/>
    <xf numFmtId="2" fontId="27" fillId="0" borderId="10" xfId="0" applyNumberFormat="1" applyFont="1" applyBorder="1" applyAlignment="1">
      <alignment horizontal="center" vertical="center" wrapText="1"/>
    </xf>
    <xf numFmtId="165" fontId="27" fillId="0" borderId="10" xfId="0" applyNumberFormat="1" applyFont="1" applyBorder="1" applyAlignment="1">
      <alignment horizontal="center" vertical="center" wrapText="1"/>
    </xf>
    <xf numFmtId="165" fontId="27" fillId="0" borderId="10" xfId="0" applyNumberFormat="1" applyFont="1" applyBorder="1" applyAlignment="1">
      <alignment horizontal="center" vertical="center"/>
    </xf>
    <xf numFmtId="164" fontId="27" fillId="0" borderId="11" xfId="0" applyNumberFormat="1" applyFont="1" applyBorder="1" applyAlignment="1">
      <alignment horizontal="center" vertical="center" wrapText="1"/>
    </xf>
    <xf numFmtId="165" fontId="27" fillId="0" borderId="10" xfId="0" applyNumberFormat="1" applyFont="1" applyBorder="1" applyAlignment="1">
      <alignment horizontal="left" vertical="center"/>
    </xf>
    <xf numFmtId="0" fontId="27" fillId="0" borderId="0" xfId="0" applyFont="1" applyAlignment="1">
      <alignment horizontal="center" vertical="center"/>
    </xf>
    <xf numFmtId="2" fontId="0" fillId="0" borderId="0" xfId="0" applyNumberFormat="1" applyAlignment="1">
      <alignment horizontal="center" vertical="center"/>
    </xf>
    <xf numFmtId="165" fontId="0" fillId="0" borderId="0" xfId="0" applyNumberFormat="1" applyAlignment="1">
      <alignment horizontal="center" vertical="center"/>
    </xf>
    <xf numFmtId="2" fontId="0" fillId="0" borderId="0" xfId="0" applyNumberFormat="1" applyAlignment="1">
      <alignment horizontal="center" vertical="center" wrapText="1"/>
    </xf>
    <xf numFmtId="165" fontId="0" fillId="0" borderId="0" xfId="0" applyNumberFormat="1" applyAlignment="1">
      <alignment horizontal="center" vertical="center" wrapText="1"/>
    </xf>
    <xf numFmtId="1" fontId="0" fillId="0" borderId="0" xfId="0" applyNumberFormat="1" applyAlignment="1">
      <alignment horizontal="center" vertical="center"/>
    </xf>
    <xf numFmtId="165" fontId="0" fillId="0" borderId="0" xfId="0" applyNumberFormat="1" applyAlignment="1">
      <alignment horizontal="left" vertical="center"/>
    </xf>
    <xf numFmtId="0" fontId="0" fillId="20" borderId="0" xfId="0" applyFill="1" applyAlignment="1">
      <alignment horizontal="center" vertical="center"/>
    </xf>
    <xf numFmtId="0" fontId="39" fillId="0" borderId="0" xfId="0" applyFont="1" applyAlignment="1">
      <alignment horizontal="center" vertical="center"/>
    </xf>
    <xf numFmtId="0" fontId="0" fillId="0" borderId="0" xfId="0" applyAlignment="1">
      <alignment horizontal="left" vertical="center" wrapText="1"/>
    </xf>
    <xf numFmtId="0" fontId="0" fillId="21" borderId="0" xfId="0" applyFill="1" applyAlignment="1">
      <alignment horizontal="center" vertical="center"/>
    </xf>
    <xf numFmtId="0" fontId="0" fillId="22" borderId="0" xfId="0" applyFill="1" applyAlignment="1">
      <alignment horizontal="center" vertical="center"/>
    </xf>
    <xf numFmtId="0" fontId="0" fillId="23" borderId="0" xfId="0" applyFill="1" applyAlignment="1">
      <alignment horizontal="center" vertical="center"/>
    </xf>
    <xf numFmtId="0" fontId="0" fillId="23" borderId="0" xfId="0" applyFill="1" applyAlignment="1">
      <alignment horizontal="left" vertical="center" wrapText="1"/>
    </xf>
    <xf numFmtId="165" fontId="0" fillId="23" borderId="0" xfId="0" applyNumberFormat="1" applyFill="1" applyAlignment="1">
      <alignment horizontal="center" vertical="center"/>
    </xf>
    <xf numFmtId="1" fontId="0" fillId="23" borderId="0" xfId="0" applyNumberFormat="1" applyFill="1" applyAlignment="1">
      <alignment horizontal="center" vertical="center"/>
    </xf>
    <xf numFmtId="0" fontId="0" fillId="23" borderId="0" xfId="0" applyFill="1" applyAlignment="1">
      <alignment horizontal="left" vertical="center"/>
    </xf>
    <xf numFmtId="165" fontId="0" fillId="0" borderId="0" xfId="0" applyNumberFormat="1" applyAlignment="1">
      <alignment horizontal="center"/>
    </xf>
    <xf numFmtId="2" fontId="0" fillId="23" borderId="0" xfId="0" applyNumberFormat="1" applyFill="1" applyAlignment="1">
      <alignment horizontal="center" vertical="center"/>
    </xf>
    <xf numFmtId="165" fontId="0" fillId="22" borderId="0" xfId="0" applyNumberFormat="1" applyFill="1" applyAlignment="1">
      <alignment horizontal="center" vertical="center"/>
    </xf>
    <xf numFmtId="2" fontId="0" fillId="22" borderId="0" xfId="0" applyNumberFormat="1" applyFill="1" applyAlignment="1">
      <alignment horizontal="center" vertical="center"/>
    </xf>
    <xf numFmtId="1" fontId="0" fillId="22" borderId="0" xfId="0" applyNumberFormat="1" applyFill="1" applyAlignment="1">
      <alignment horizontal="center" vertical="center"/>
    </xf>
    <xf numFmtId="2" fontId="0" fillId="0" borderId="0" xfId="0" applyNumberFormat="1" applyAlignment="1">
      <alignment vertical="center"/>
    </xf>
    <xf numFmtId="0" fontId="51" fillId="0" borderId="0" xfId="0" applyFont="1"/>
    <xf numFmtId="0" fontId="0" fillId="0" borderId="70" xfId="0" applyBorder="1" applyAlignment="1">
      <alignment horizontal="center"/>
    </xf>
    <xf numFmtId="10" fontId="0" fillId="0" borderId="2" xfId="0" applyNumberFormat="1" applyBorder="1" applyAlignment="1">
      <alignment vertical="center"/>
    </xf>
    <xf numFmtId="0" fontId="0" fillId="22" borderId="0" xfId="0" applyFill="1" applyAlignment="1">
      <alignment horizontal="right" vertical="center"/>
    </xf>
    <xf numFmtId="164" fontId="0" fillId="22" borderId="0" xfId="0" applyNumberFormat="1" applyFill="1" applyAlignment="1">
      <alignment horizontal="center" vertical="center"/>
    </xf>
    <xf numFmtId="14" fontId="27" fillId="0" borderId="0" xfId="0" applyNumberFormat="1" applyFont="1" applyAlignment="1">
      <alignment horizontal="center" vertical="center"/>
    </xf>
    <xf numFmtId="0" fontId="0" fillId="22" borderId="10" xfId="0" applyFill="1" applyBorder="1" applyAlignment="1">
      <alignment horizontal="left" vertical="center"/>
    </xf>
    <xf numFmtId="164" fontId="27" fillId="0" borderId="10" xfId="0" applyNumberFormat="1" applyFont="1" applyBorder="1" applyAlignment="1">
      <alignment horizontal="center" vertical="center" wrapText="1"/>
    </xf>
    <xf numFmtId="165" fontId="52" fillId="13" borderId="0" xfId="0" applyNumberFormat="1" applyFont="1" applyFill="1" applyAlignment="1">
      <alignment horizontal="center" vertical="center"/>
    </xf>
    <xf numFmtId="0" fontId="39" fillId="21" borderId="0" xfId="0" applyFont="1" applyFill="1" applyAlignment="1">
      <alignment horizontal="center" vertical="center"/>
    </xf>
    <xf numFmtId="164" fontId="3" fillId="3" borderId="3" xfId="1" applyNumberFormat="1" applyFont="1" applyBorder="1" applyAlignment="1">
      <alignment horizontal="center"/>
    </xf>
    <xf numFmtId="164" fontId="20" fillId="5" borderId="24" xfId="1" applyNumberFormat="1" applyFont="1" applyFill="1" applyBorder="1" applyAlignment="1">
      <alignment horizontal="center"/>
    </xf>
    <xf numFmtId="164" fontId="22" fillId="5" borderId="20" xfId="1" applyNumberFormat="1" applyFont="1" applyFill="1" applyBorder="1" applyAlignment="1">
      <alignment horizontal="center"/>
    </xf>
    <xf numFmtId="164" fontId="22" fillId="3" borderId="24" xfId="1" applyNumberFormat="1" applyFont="1" applyBorder="1" applyAlignment="1">
      <alignment horizontal="center"/>
    </xf>
    <xf numFmtId="164" fontId="4" fillId="3" borderId="9" xfId="1" applyNumberFormat="1" applyFont="1" applyBorder="1" applyAlignment="1">
      <alignment horizontal="center"/>
    </xf>
    <xf numFmtId="164" fontId="3" fillId="0" borderId="7" xfId="1" applyNumberFormat="1" applyFont="1" applyFill="1" applyBorder="1" applyAlignment="1">
      <alignment horizontal="center"/>
    </xf>
    <xf numFmtId="164" fontId="45" fillId="0" borderId="0" xfId="0" applyNumberFormat="1" applyFont="1" applyAlignment="1">
      <alignment horizontal="center" vertical="center"/>
    </xf>
    <xf numFmtId="164" fontId="0" fillId="2" borderId="0" xfId="0" applyNumberFormat="1" applyFill="1"/>
    <xf numFmtId="165" fontId="0" fillId="0" borderId="0" xfId="0" applyNumberFormat="1" applyAlignment="1">
      <alignment vertical="center"/>
    </xf>
    <xf numFmtId="0" fontId="27" fillId="17" borderId="71" xfId="0" applyFont="1" applyFill="1" applyBorder="1" applyAlignment="1">
      <alignment horizontal="center" vertical="center"/>
    </xf>
    <xf numFmtId="0" fontId="0" fillId="0" borderId="77" xfId="0" applyBorder="1" applyAlignment="1">
      <alignment horizontal="left" vertical="center"/>
    </xf>
    <xf numFmtId="14" fontId="39" fillId="0" borderId="0" xfId="0" applyNumberFormat="1" applyFont="1" applyAlignment="1">
      <alignment horizontal="left" vertical="center"/>
    </xf>
    <xf numFmtId="9" fontId="0" fillId="0" borderId="0" xfId="0" applyNumberFormat="1" applyAlignment="1">
      <alignment horizontal="center" vertical="center" wrapText="1"/>
    </xf>
    <xf numFmtId="9" fontId="0" fillId="0" borderId="47" xfId="0" applyNumberFormat="1" applyBorder="1" applyAlignment="1">
      <alignment horizontal="center" vertical="center" wrapText="1"/>
    </xf>
    <xf numFmtId="0" fontId="3" fillId="0" borderId="0" xfId="0" applyFont="1" applyAlignment="1">
      <alignment horizontal="left" vertical="center" wrapText="1"/>
    </xf>
    <xf numFmtId="0" fontId="0" fillId="8" borderId="0" xfId="0" applyFill="1" applyAlignment="1">
      <alignment horizontal="left" vertical="center"/>
    </xf>
    <xf numFmtId="0" fontId="29" fillId="0" borderId="0" xfId="0" applyFont="1" applyAlignment="1">
      <alignment horizontal="left"/>
    </xf>
    <xf numFmtId="0" fontId="21" fillId="0" borderId="0" xfId="2" applyFill="1" applyAlignment="1">
      <alignment horizontal="center" wrapText="1"/>
    </xf>
    <xf numFmtId="0" fontId="21" fillId="2" borderId="0" xfId="2" applyFill="1" applyBorder="1" applyAlignment="1">
      <alignment horizontal="center" vertical="center" wrapText="1"/>
    </xf>
    <xf numFmtId="166" fontId="0" fillId="2" borderId="0" xfId="0" applyNumberFormat="1" applyFill="1" applyAlignment="1">
      <alignment horizontal="center"/>
    </xf>
    <xf numFmtId="164" fontId="29" fillId="0" borderId="0" xfId="0" applyNumberFormat="1" applyFont="1" applyAlignment="1">
      <alignment horizontal="center"/>
    </xf>
    <xf numFmtId="164" fontId="41" fillId="0" borderId="0" xfId="0" applyNumberFormat="1" applyFont="1" applyAlignment="1">
      <alignment horizontal="center"/>
    </xf>
    <xf numFmtId="164" fontId="21" fillId="0" borderId="0" xfId="2" applyNumberFormat="1" applyBorder="1" applyAlignment="1">
      <alignment horizontal="center" vertical="center" wrapText="1"/>
    </xf>
    <xf numFmtId="164" fontId="20" fillId="2" borderId="0" xfId="0" applyNumberFormat="1" applyFont="1" applyFill="1" applyAlignment="1">
      <alignment horizontal="center"/>
    </xf>
    <xf numFmtId="0" fontId="3" fillId="2" borderId="0" xfId="0" applyFont="1" applyFill="1" applyAlignment="1">
      <alignment horizontal="center"/>
    </xf>
    <xf numFmtId="164" fontId="3" fillId="2" borderId="57" xfId="0" applyNumberFormat="1" applyFont="1" applyFill="1" applyBorder="1" applyAlignment="1">
      <alignment horizontal="center"/>
    </xf>
    <xf numFmtId="164" fontId="3" fillId="2" borderId="0" xfId="0" applyNumberFormat="1" applyFont="1" applyFill="1"/>
    <xf numFmtId="0" fontId="3" fillId="2" borderId="0" xfId="0" applyFont="1" applyFill="1"/>
    <xf numFmtId="0" fontId="47" fillId="0" borderId="0" xfId="2" applyFont="1" applyFill="1" applyBorder="1" applyAlignment="1">
      <alignment horizontal="center" wrapText="1"/>
    </xf>
    <xf numFmtId="14" fontId="47" fillId="0" borderId="0" xfId="0" applyNumberFormat="1" applyFont="1" applyAlignment="1">
      <alignment horizontal="center" wrapText="1"/>
    </xf>
    <xf numFmtId="0" fontId="47" fillId="0" borderId="0" xfId="0" applyFont="1" applyAlignment="1">
      <alignment horizontal="left" wrapText="1"/>
    </xf>
    <xf numFmtId="0" fontId="47" fillId="0" borderId="0" xfId="0" applyFont="1" applyAlignment="1">
      <alignment horizontal="center" wrapText="1"/>
    </xf>
    <xf numFmtId="0" fontId="8" fillId="0" borderId="0" xfId="0" applyFont="1" applyAlignment="1">
      <alignment horizontal="center" wrapText="1"/>
    </xf>
    <xf numFmtId="164" fontId="16" fillId="0" borderId="0" xfId="0" applyNumberFormat="1" applyFont="1" applyAlignment="1">
      <alignment horizontal="center" wrapText="1"/>
    </xf>
    <xf numFmtId="0" fontId="16" fillId="0" borderId="0" xfId="0" applyFont="1" applyAlignment="1">
      <alignment horizontal="center" wrapText="1"/>
    </xf>
    <xf numFmtId="164" fontId="4" fillId="0" borderId="0" xfId="0" applyNumberFormat="1" applyFont="1" applyAlignment="1">
      <alignment horizontal="center" wrapText="1"/>
    </xf>
    <xf numFmtId="165" fontId="47" fillId="0" borderId="0" xfId="0" applyNumberFormat="1" applyFont="1" applyAlignment="1">
      <alignment horizontal="center" wrapText="1"/>
    </xf>
    <xf numFmtId="0" fontId="27" fillId="0" borderId="0" xfId="0" applyFont="1" applyAlignment="1">
      <alignment horizontal="center" wrapText="1"/>
    </xf>
    <xf numFmtId="0" fontId="47" fillId="2" borderId="0" xfId="0" applyFont="1" applyFill="1" applyAlignment="1">
      <alignment horizontal="center" wrapText="1"/>
    </xf>
    <xf numFmtId="164" fontId="47" fillId="0" borderId="0" xfId="0" applyNumberFormat="1" applyFont="1" applyAlignment="1">
      <alignment horizontal="center" wrapText="1"/>
    </xf>
    <xf numFmtId="164" fontId="0" fillId="2" borderId="2" xfId="0" applyNumberFormat="1" applyFill="1" applyBorder="1" applyAlignment="1">
      <alignment horizontal="center" vertical="center"/>
    </xf>
    <xf numFmtId="164" fontId="0" fillId="2" borderId="0" xfId="0" applyNumberFormat="1" applyFill="1" applyAlignment="1">
      <alignment horizontal="center" vertical="center"/>
    </xf>
    <xf numFmtId="0" fontId="0" fillId="2" borderId="0" xfId="0" applyFill="1" applyAlignment="1">
      <alignment horizontal="left" vertical="center"/>
    </xf>
    <xf numFmtId="165" fontId="0" fillId="2" borderId="0" xfId="0" applyNumberFormat="1" applyFill="1"/>
    <xf numFmtId="2" fontId="0" fillId="2" borderId="0" xfId="0" applyNumberFormat="1" applyFill="1"/>
    <xf numFmtId="2" fontId="0" fillId="2" borderId="0" xfId="0" applyNumberFormat="1" applyFill="1" applyAlignment="1">
      <alignment horizontal="center" vertical="center"/>
    </xf>
    <xf numFmtId="0" fontId="39" fillId="0" borderId="0" xfId="0" applyFont="1"/>
    <xf numFmtId="0" fontId="39" fillId="0" borderId="0" xfId="0" applyFont="1" applyAlignment="1">
      <alignment horizontal="right"/>
    </xf>
    <xf numFmtId="0" fontId="0" fillId="21" borderId="0" xfId="0" applyFill="1"/>
    <xf numFmtId="165" fontId="0" fillId="21" borderId="0" xfId="0" applyNumberFormat="1" applyFill="1"/>
    <xf numFmtId="0" fontId="27" fillId="0" borderId="25" xfId="0" applyFont="1" applyBorder="1" applyAlignment="1">
      <alignment vertical="center"/>
    </xf>
    <xf numFmtId="0" fontId="0" fillId="0" borderId="26" xfId="0" applyBorder="1" applyAlignment="1">
      <alignment vertical="center"/>
    </xf>
    <xf numFmtId="0" fontId="27" fillId="0" borderId="26" xfId="0" applyFont="1" applyBorder="1" applyAlignment="1">
      <alignment vertical="center"/>
    </xf>
    <xf numFmtId="0" fontId="0" fillId="0" borderId="29" xfId="0" applyBorder="1" applyAlignment="1">
      <alignment vertical="center"/>
    </xf>
    <xf numFmtId="0" fontId="0" fillId="0" borderId="42" xfId="0" applyBorder="1" applyAlignment="1">
      <alignment vertical="center"/>
    </xf>
    <xf numFmtId="0" fontId="0" fillId="0" borderId="43" xfId="0" applyBorder="1" applyAlignment="1">
      <alignment vertical="center"/>
    </xf>
    <xf numFmtId="0" fontId="6" fillId="0" borderId="0" xfId="0" applyFont="1" applyAlignment="1">
      <alignment vertical="center"/>
    </xf>
    <xf numFmtId="0" fontId="27" fillId="0" borderId="42" xfId="0" applyFont="1" applyBorder="1" applyAlignment="1">
      <alignment vertical="center"/>
    </xf>
    <xf numFmtId="0" fontId="0" fillId="0" borderId="44" xfId="0" applyBorder="1" applyAlignment="1">
      <alignment vertical="center"/>
    </xf>
    <xf numFmtId="0" fontId="0" fillId="0" borderId="37" xfId="0" applyBorder="1" applyAlignment="1">
      <alignment vertical="center"/>
    </xf>
    <xf numFmtId="0" fontId="0" fillId="0" borderId="45" xfId="0" applyBorder="1" applyAlignment="1">
      <alignment vertical="center"/>
    </xf>
    <xf numFmtId="9" fontId="0" fillId="2" borderId="0" xfId="0" applyNumberFormat="1" applyFill="1" applyAlignment="1">
      <alignment horizontal="center" vertical="center"/>
    </xf>
    <xf numFmtId="10" fontId="42" fillId="2" borderId="0" xfId="0" applyNumberFormat="1" applyFont="1" applyFill="1" applyAlignment="1">
      <alignment horizontal="center" vertical="center"/>
    </xf>
    <xf numFmtId="10" fontId="0" fillId="2" borderId="0" xfId="0" applyNumberFormat="1" applyFill="1" applyAlignment="1">
      <alignment horizontal="center" vertical="center"/>
    </xf>
    <xf numFmtId="0" fontId="0" fillId="2" borderId="0" xfId="0" applyFill="1" applyAlignment="1">
      <alignment vertical="center"/>
    </xf>
    <xf numFmtId="2" fontId="0" fillId="21" borderId="0" xfId="0" applyNumberFormat="1" applyFill="1"/>
    <xf numFmtId="0" fontId="0" fillId="21" borderId="0" xfId="0" applyFill="1" applyAlignment="1">
      <alignment vertical="center"/>
    </xf>
    <xf numFmtId="10" fontId="0" fillId="21" borderId="0" xfId="0" applyNumberFormat="1" applyFill="1" applyAlignment="1">
      <alignment horizontal="center" vertical="center"/>
    </xf>
    <xf numFmtId="0" fontId="27" fillId="0" borderId="0" xfId="0" applyFont="1"/>
    <xf numFmtId="164" fontId="39" fillId="0" borderId="42" xfId="0" applyNumberFormat="1" applyFont="1" applyBorder="1" applyAlignment="1">
      <alignment horizontal="center" vertical="center"/>
    </xf>
    <xf numFmtId="164" fontId="39" fillId="0" borderId="43" xfId="0" applyNumberFormat="1" applyFont="1" applyBorder="1" applyAlignment="1">
      <alignment horizontal="center" vertical="center"/>
    </xf>
    <xf numFmtId="0" fontId="39" fillId="0" borderId="42" xfId="0" applyFont="1" applyBorder="1" applyAlignment="1">
      <alignment vertical="center"/>
    </xf>
    <xf numFmtId="0" fontId="39" fillId="0" borderId="0" xfId="0" applyFont="1" applyAlignment="1">
      <alignment horizontal="left" vertical="center"/>
    </xf>
    <xf numFmtId="0" fontId="39" fillId="0" borderId="43" xfId="0" applyFont="1" applyBorder="1" applyAlignment="1">
      <alignment vertical="center"/>
    </xf>
    <xf numFmtId="164" fontId="39" fillId="0" borderId="0" xfId="0" applyNumberFormat="1" applyFont="1"/>
    <xf numFmtId="164" fontId="50" fillId="0" borderId="0" xfId="0" applyNumberFormat="1" applyFont="1" applyAlignment="1">
      <alignment horizontal="center"/>
    </xf>
    <xf numFmtId="0" fontId="50" fillId="0" borderId="0" xfId="0" applyFont="1"/>
    <xf numFmtId="164" fontId="39" fillId="0" borderId="0" xfId="0" applyNumberFormat="1" applyFont="1" applyAlignment="1">
      <alignment horizontal="center"/>
    </xf>
    <xf numFmtId="2" fontId="41" fillId="0" borderId="0" xfId="0" applyNumberFormat="1" applyFont="1" applyAlignment="1">
      <alignment horizontal="center"/>
    </xf>
    <xf numFmtId="2" fontId="41" fillId="0" borderId="0" xfId="0" applyNumberFormat="1" applyFont="1" applyAlignment="1">
      <alignment horizontal="center" wrapText="1"/>
    </xf>
    <xf numFmtId="169" fontId="0" fillId="0" borderId="43" xfId="0" applyNumberFormat="1" applyBorder="1" applyAlignment="1">
      <alignment horizontal="center"/>
    </xf>
    <xf numFmtId="0" fontId="39" fillId="23" borderId="0" xfId="0" applyFont="1" applyFill="1" applyAlignment="1">
      <alignment horizontal="center" vertical="center"/>
    </xf>
    <xf numFmtId="0" fontId="0" fillId="14" borderId="0" xfId="0" applyFill="1" applyAlignment="1">
      <alignment horizontal="center" vertical="center"/>
    </xf>
    <xf numFmtId="0" fontId="39" fillId="14" borderId="0" xfId="0" applyFont="1" applyFill="1" applyAlignment="1">
      <alignment horizontal="center" vertical="center"/>
    </xf>
    <xf numFmtId="0" fontId="0" fillId="14" borderId="0" xfId="0" applyFill="1" applyAlignment="1">
      <alignment horizontal="left" vertical="center"/>
    </xf>
    <xf numFmtId="165" fontId="0" fillId="14" borderId="0" xfId="0" applyNumberFormat="1" applyFill="1" applyAlignment="1">
      <alignment horizontal="center" vertical="center"/>
    </xf>
    <xf numFmtId="4" fontId="0" fillId="14" borderId="0" xfId="0" applyNumberFormat="1" applyFill="1" applyAlignment="1">
      <alignment horizontal="center" vertical="center"/>
    </xf>
    <xf numFmtId="10" fontId="0" fillId="14" borderId="0" xfId="0" applyNumberFormat="1" applyFill="1" applyAlignment="1">
      <alignment horizontal="center" vertical="center"/>
    </xf>
    <xf numFmtId="1" fontId="0" fillId="14" borderId="0" xfId="0" applyNumberFormat="1" applyFill="1" applyAlignment="1">
      <alignment horizontal="center" vertical="center"/>
    </xf>
    <xf numFmtId="164" fontId="0" fillId="14" borderId="2" xfId="0" applyNumberFormat="1" applyFill="1" applyBorder="1" applyAlignment="1">
      <alignment horizontal="center" vertical="center"/>
    </xf>
    <xf numFmtId="164" fontId="0" fillId="14" borderId="0" xfId="0" applyNumberFormat="1" applyFill="1" applyAlignment="1">
      <alignment horizontal="center" vertical="center"/>
    </xf>
    <xf numFmtId="2" fontId="0" fillId="14" borderId="0" xfId="0" applyNumberFormat="1" applyFill="1" applyAlignment="1">
      <alignment horizontal="center" vertical="center"/>
    </xf>
    <xf numFmtId="164" fontId="39" fillId="0" borderId="42" xfId="0" applyNumberFormat="1" applyFont="1" applyBorder="1" applyAlignment="1">
      <alignment vertical="center"/>
    </xf>
    <xf numFmtId="10" fontId="39" fillId="0" borderId="0" xfId="0" applyNumberFormat="1" applyFont="1" applyAlignment="1">
      <alignment horizontal="center" vertical="center"/>
    </xf>
    <xf numFmtId="0" fontId="39" fillId="0" borderId="0" xfId="0" applyFont="1" applyAlignment="1">
      <alignment horizontal="right" vertical="center"/>
    </xf>
    <xf numFmtId="164" fontId="39" fillId="0" borderId="0" xfId="0" applyNumberFormat="1" applyFont="1" applyAlignment="1">
      <alignment horizontal="center" vertical="center"/>
    </xf>
    <xf numFmtId="0" fontId="39" fillId="0" borderId="40" xfId="0" applyFont="1" applyBorder="1" applyAlignment="1">
      <alignment vertical="center"/>
    </xf>
    <xf numFmtId="0" fontId="39" fillId="0" borderId="78" xfId="0" applyFont="1" applyBorder="1" applyAlignment="1">
      <alignment vertical="center"/>
    </xf>
    <xf numFmtId="0" fontId="39" fillId="0" borderId="41" xfId="0" applyFont="1" applyBorder="1" applyAlignment="1">
      <alignment vertical="center"/>
    </xf>
    <xf numFmtId="0" fontId="39" fillId="0" borderId="40" xfId="0" applyFont="1" applyBorder="1"/>
    <xf numFmtId="0" fontId="39" fillId="0" borderId="78" xfId="0" applyFont="1" applyBorder="1"/>
    <xf numFmtId="0" fontId="39" fillId="0" borderId="41" xfId="0" applyFont="1" applyBorder="1"/>
    <xf numFmtId="164" fontId="39" fillId="0" borderId="0" xfId="0" applyNumberFormat="1" applyFont="1" applyAlignment="1">
      <alignment vertical="center"/>
    </xf>
    <xf numFmtId="10" fontId="39" fillId="0" borderId="0" xfId="0" applyNumberFormat="1" applyFont="1" applyAlignment="1">
      <alignment horizontal="left" vertical="center"/>
    </xf>
    <xf numFmtId="0" fontId="0" fillId="25" borderId="0" xfId="0" applyFill="1" applyAlignment="1">
      <alignment horizontal="center" vertical="center"/>
    </xf>
    <xf numFmtId="0" fontId="0" fillId="25" borderId="0" xfId="0" applyFill="1" applyAlignment="1">
      <alignment horizontal="left" vertical="center"/>
    </xf>
    <xf numFmtId="1" fontId="0" fillId="7" borderId="0" xfId="0" applyNumberFormat="1" applyFill="1" applyAlignment="1">
      <alignment horizontal="center" vertical="center"/>
    </xf>
    <xf numFmtId="165" fontId="0" fillId="7" borderId="0" xfId="0" applyNumberFormat="1" applyFill="1" applyAlignment="1">
      <alignment horizontal="center" vertical="center"/>
    </xf>
    <xf numFmtId="0" fontId="39" fillId="8" borderId="0" xfId="0" applyFont="1" applyFill="1" applyAlignment="1">
      <alignment horizontal="center" vertical="center"/>
    </xf>
    <xf numFmtId="165" fontId="57" fillId="13" borderId="0" xfId="0" applyNumberFormat="1" applyFont="1" applyFill="1" applyAlignment="1">
      <alignment horizontal="center" vertical="center"/>
    </xf>
    <xf numFmtId="0" fontId="0" fillId="7" borderId="0" xfId="0" applyFill="1" applyAlignment="1">
      <alignment horizontal="left" vertical="center"/>
    </xf>
    <xf numFmtId="9" fontId="39" fillId="0" borderId="0" xfId="0" applyNumberFormat="1" applyFont="1" applyAlignment="1">
      <alignment horizontal="center" vertical="center"/>
    </xf>
    <xf numFmtId="0" fontId="39" fillId="0" borderId="42" xfId="0" applyFont="1" applyBorder="1"/>
    <xf numFmtId="0" fontId="0" fillId="0" borderId="37" xfId="0" applyBorder="1" applyAlignment="1">
      <alignment horizontal="center"/>
    </xf>
    <xf numFmtId="169" fontId="0" fillId="0" borderId="45" xfId="0" applyNumberFormat="1" applyBorder="1" applyAlignment="1">
      <alignment horizontal="center"/>
    </xf>
    <xf numFmtId="8" fontId="0" fillId="0" borderId="0" xfId="0" applyNumberFormat="1"/>
    <xf numFmtId="8" fontId="0" fillId="0" borderId="0" xfId="0" applyNumberFormat="1" applyAlignment="1">
      <alignment horizontal="center"/>
    </xf>
    <xf numFmtId="0" fontId="58" fillId="0" borderId="0" xfId="0" applyFont="1"/>
    <xf numFmtId="8" fontId="58" fillId="0" borderId="0" xfId="0" applyNumberFormat="1" applyFont="1"/>
    <xf numFmtId="167" fontId="0" fillId="0" borderId="0" xfId="0" applyNumberFormat="1" applyAlignment="1">
      <alignment horizontal="center" vertical="center"/>
    </xf>
    <xf numFmtId="0" fontId="27" fillId="0" borderId="75" xfId="0" applyFont="1" applyBorder="1" applyAlignment="1">
      <alignment horizontal="left" vertical="center"/>
    </xf>
    <xf numFmtId="164" fontId="0" fillId="0" borderId="0" xfId="0" applyNumberFormat="1" applyAlignment="1">
      <alignment horizontal="left" vertical="center"/>
    </xf>
    <xf numFmtId="0" fontId="0" fillId="0" borderId="47" xfId="0" applyBorder="1" applyAlignment="1">
      <alignment horizontal="left" vertical="center"/>
    </xf>
    <xf numFmtId="0" fontId="0" fillId="24" borderId="10" xfId="0" applyFill="1" applyBorder="1" applyAlignment="1">
      <alignment wrapText="1"/>
    </xf>
    <xf numFmtId="0" fontId="0" fillId="24" borderId="11" xfId="0" applyFill="1" applyBorder="1" applyAlignment="1">
      <alignment wrapText="1"/>
    </xf>
    <xf numFmtId="2" fontId="39" fillId="24" borderId="75" xfId="0" applyNumberFormat="1" applyFont="1" applyFill="1" applyBorder="1" applyAlignment="1">
      <alignment wrapText="1"/>
    </xf>
    <xf numFmtId="0" fontId="0" fillId="0" borderId="0" xfId="0" applyAlignment="1">
      <alignment horizontal="center" wrapText="1"/>
    </xf>
    <xf numFmtId="0" fontId="0" fillId="0" borderId="0" xfId="0" applyAlignment="1">
      <alignment wrapText="1"/>
    </xf>
    <xf numFmtId="2" fontId="39" fillId="0" borderId="0" xfId="0" applyNumberFormat="1" applyFont="1" applyAlignment="1">
      <alignment wrapText="1"/>
    </xf>
    <xf numFmtId="14" fontId="39" fillId="0" borderId="0" xfId="0" applyNumberFormat="1" applyFont="1" applyAlignment="1">
      <alignment wrapText="1"/>
    </xf>
    <xf numFmtId="169" fontId="0" fillId="0" borderId="0" xfId="0" applyNumberFormat="1" applyAlignment="1">
      <alignment horizontal="center" vertical="center"/>
    </xf>
    <xf numFmtId="169" fontId="0" fillId="14" borderId="0" xfId="0" applyNumberFormat="1" applyFill="1" applyAlignment="1">
      <alignment horizontal="center" vertical="center"/>
    </xf>
    <xf numFmtId="0" fontId="50" fillId="0" borderId="0" xfId="0" applyFont="1" applyAlignment="1">
      <alignment horizontal="center" vertical="center"/>
    </xf>
    <xf numFmtId="14" fontId="47" fillId="0" borderId="0" xfId="0" applyNumberFormat="1" applyFont="1" applyAlignment="1">
      <alignment horizontal="center" vertical="center"/>
    </xf>
    <xf numFmtId="164" fontId="0" fillId="0" borderId="11" xfId="0" applyNumberFormat="1" applyBorder="1" applyAlignment="1">
      <alignment horizontal="center" vertical="center"/>
    </xf>
    <xf numFmtId="169" fontId="0" fillId="0" borderId="10" xfId="0" applyNumberFormat="1" applyBorder="1" applyAlignment="1">
      <alignment horizontal="center" vertical="center"/>
    </xf>
    <xf numFmtId="164" fontId="0" fillId="0" borderId="10" xfId="0" applyNumberFormat="1" applyBorder="1" applyAlignment="1">
      <alignment horizontal="center" vertical="center"/>
    </xf>
    <xf numFmtId="165" fontId="0" fillId="0" borderId="10" xfId="0" applyNumberFormat="1" applyBorder="1" applyAlignment="1">
      <alignment horizontal="center" vertical="center"/>
    </xf>
    <xf numFmtId="0" fontId="0" fillId="0" borderId="10" xfId="0" applyBorder="1"/>
    <xf numFmtId="0" fontId="0" fillId="0" borderId="75" xfId="0" applyBorder="1" applyAlignment="1">
      <alignment horizontal="center" vertical="center"/>
    </xf>
    <xf numFmtId="0" fontId="56" fillId="0" borderId="44" xfId="0" applyFont="1" applyBorder="1" applyAlignment="1">
      <alignment vertical="center" wrapText="1"/>
    </xf>
    <xf numFmtId="0" fontId="56" fillId="0" borderId="37" xfId="0" applyFont="1" applyBorder="1" applyAlignment="1">
      <alignment vertical="center" wrapText="1"/>
    </xf>
    <xf numFmtId="0" fontId="56" fillId="0" borderId="45" xfId="0" applyFont="1" applyBorder="1" applyAlignment="1">
      <alignment vertical="center" wrapText="1"/>
    </xf>
    <xf numFmtId="0" fontId="39" fillId="14" borderId="79" xfId="0" applyFont="1" applyFill="1" applyBorder="1" applyAlignment="1">
      <alignment vertical="center"/>
    </xf>
    <xf numFmtId="0" fontId="39" fillId="14" borderId="53" xfId="0" applyFont="1" applyFill="1" applyBorder="1" applyAlignment="1">
      <alignment vertical="center"/>
    </xf>
    <xf numFmtId="0" fontId="39" fillId="14" borderId="80" xfId="0" applyFont="1" applyFill="1" applyBorder="1" applyAlignment="1">
      <alignment vertical="center"/>
    </xf>
    <xf numFmtId="164" fontId="56" fillId="0" borderId="44" xfId="0" applyNumberFormat="1" applyFont="1" applyBorder="1" applyAlignment="1">
      <alignment vertical="center"/>
    </xf>
    <xf numFmtId="164" fontId="56" fillId="0" borderId="37" xfId="0" applyNumberFormat="1" applyFont="1" applyBorder="1" applyAlignment="1">
      <alignment vertical="center"/>
    </xf>
    <xf numFmtId="164" fontId="56" fillId="0" borderId="45" xfId="0" applyNumberFormat="1" applyFont="1" applyBorder="1" applyAlignment="1">
      <alignment vertical="center"/>
    </xf>
    <xf numFmtId="1" fontId="3" fillId="0" borderId="10" xfId="0" applyNumberFormat="1" applyFont="1" applyBorder="1" applyAlignment="1">
      <alignment horizontal="center" wrapText="1"/>
    </xf>
    <xf numFmtId="1" fontId="3" fillId="0" borderId="0" xfId="0" applyNumberFormat="1" applyFont="1" applyAlignment="1">
      <alignment horizontal="center"/>
    </xf>
    <xf numFmtId="0" fontId="5" fillId="0" borderId="0" xfId="0" applyFont="1" applyAlignment="1">
      <alignment horizontal="center" wrapText="1"/>
    </xf>
    <xf numFmtId="0" fontId="27" fillId="0" borderId="0" xfId="0" applyFont="1" applyAlignment="1">
      <alignment horizontal="center"/>
    </xf>
    <xf numFmtId="14" fontId="27" fillId="0" borderId="10" xfId="0" applyNumberFormat="1" applyFont="1" applyBorder="1" applyAlignment="1">
      <alignment horizontal="center" vertical="center"/>
    </xf>
    <xf numFmtId="10" fontId="0" fillId="0" borderId="47" xfId="0" applyNumberFormat="1" applyBorder="1" applyAlignment="1">
      <alignment horizontal="center" vertical="center"/>
    </xf>
    <xf numFmtId="0" fontId="0" fillId="0" borderId="2" xfId="0" applyBorder="1" applyAlignment="1">
      <alignment horizontal="center" vertical="center" wrapText="1"/>
    </xf>
    <xf numFmtId="0" fontId="0" fillId="0" borderId="0" xfId="0" applyAlignment="1">
      <alignment horizontal="center" vertical="center" wrapText="1"/>
    </xf>
    <xf numFmtId="0" fontId="0" fillId="0" borderId="47" xfId="0" applyBorder="1" applyAlignment="1">
      <alignment horizontal="center" vertical="center" wrapText="1"/>
    </xf>
    <xf numFmtId="9" fontId="0" fillId="0" borderId="2" xfId="0" applyNumberFormat="1" applyBorder="1" applyAlignment="1">
      <alignment horizontal="center" vertical="center"/>
    </xf>
    <xf numFmtId="9" fontId="0" fillId="0" borderId="0" xfId="0" applyNumberFormat="1" applyAlignment="1">
      <alignment horizontal="center" vertical="center"/>
    </xf>
    <xf numFmtId="9" fontId="0" fillId="0" borderId="47" xfId="0" applyNumberFormat="1" applyBorder="1" applyAlignment="1">
      <alignment horizontal="center" vertical="center"/>
    </xf>
    <xf numFmtId="14" fontId="39" fillId="0" borderId="72" xfId="0" applyNumberFormat="1" applyFont="1" applyBorder="1" applyAlignment="1">
      <alignment horizontal="center" vertical="center"/>
    </xf>
    <xf numFmtId="0" fontId="0" fillId="0" borderId="2" xfId="0" applyBorder="1" applyAlignment="1">
      <alignment horizontal="center" vertical="center"/>
    </xf>
    <xf numFmtId="0" fontId="0" fillId="0" borderId="47" xfId="0" applyBorder="1" applyAlignment="1">
      <alignment horizontal="center" vertical="center"/>
    </xf>
    <xf numFmtId="0" fontId="27" fillId="26" borderId="40" xfId="0" applyFont="1" applyFill="1" applyBorder="1" applyAlignment="1">
      <alignment vertical="center"/>
    </xf>
    <xf numFmtId="0" fontId="27" fillId="26" borderId="78" xfId="0" applyFont="1" applyFill="1" applyBorder="1" applyAlignment="1">
      <alignment vertical="center"/>
    </xf>
    <xf numFmtId="0" fontId="27" fillId="26" borderId="41" xfId="0" applyFont="1" applyFill="1" applyBorder="1" applyAlignment="1">
      <alignment vertical="center"/>
    </xf>
    <xf numFmtId="0" fontId="27" fillId="0" borderId="43" xfId="0" applyFont="1" applyBorder="1" applyAlignment="1">
      <alignment vertical="center"/>
    </xf>
    <xf numFmtId="164" fontId="0" fillId="0" borderId="0" xfId="0" applyNumberFormat="1" applyAlignment="1">
      <alignment vertical="center"/>
    </xf>
    <xf numFmtId="10" fontId="0" fillId="0" borderId="37" xfId="0" applyNumberFormat="1" applyBorder="1" applyAlignment="1">
      <alignment horizontal="center" vertical="center"/>
    </xf>
    <xf numFmtId="0" fontId="39" fillId="26" borderId="40" xfId="0" applyFont="1" applyFill="1" applyBorder="1" applyAlignment="1">
      <alignment vertical="center"/>
    </xf>
    <xf numFmtId="0" fontId="0" fillId="26" borderId="78" xfId="0" applyFill="1" applyBorder="1" applyAlignment="1">
      <alignment vertical="center"/>
    </xf>
    <xf numFmtId="10" fontId="0" fillId="26" borderId="78" xfId="0" applyNumberFormat="1" applyFill="1" applyBorder="1" applyAlignment="1">
      <alignment horizontal="center" vertical="center"/>
    </xf>
    <xf numFmtId="0" fontId="0" fillId="26" borderId="41" xfId="0" applyFill="1" applyBorder="1" applyAlignment="1">
      <alignment vertical="center"/>
    </xf>
    <xf numFmtId="0" fontId="5" fillId="0" borderId="27" xfId="0" applyFont="1" applyBorder="1" applyAlignment="1">
      <alignment horizontal="center" wrapText="1"/>
    </xf>
    <xf numFmtId="0" fontId="5" fillId="0" borderId="28" xfId="0" applyFont="1" applyBorder="1" applyAlignment="1">
      <alignment horizontal="center" wrapText="1"/>
    </xf>
    <xf numFmtId="0" fontId="5" fillId="0" borderId="51" xfId="0" applyFont="1" applyBorder="1" applyAlignment="1">
      <alignment horizontal="center" wrapText="1"/>
    </xf>
    <xf numFmtId="0" fontId="5" fillId="0" borderId="7" xfId="0" applyFont="1" applyBorder="1" applyAlignment="1">
      <alignment horizontal="center" wrapText="1"/>
    </xf>
    <xf numFmtId="0" fontId="5" fillId="0" borderId="13" xfId="0" applyFont="1" applyBorder="1" applyAlignment="1">
      <alignment horizontal="center" wrapText="1"/>
    </xf>
    <xf numFmtId="0" fontId="5" fillId="0" borderId="12" xfId="0" applyFont="1" applyBorder="1" applyAlignment="1">
      <alignment horizontal="center" wrapText="1"/>
    </xf>
    <xf numFmtId="0" fontId="31" fillId="0" borderId="27" xfId="0" applyFont="1" applyBorder="1" applyAlignment="1">
      <alignment horizontal="center" wrapText="1"/>
    </xf>
    <xf numFmtId="0" fontId="31" fillId="0" borderId="29" xfId="0" applyFont="1" applyBorder="1" applyAlignment="1">
      <alignment horizontal="center" wrapText="1"/>
    </xf>
    <xf numFmtId="0" fontId="30" fillId="6" borderId="0" xfId="0" applyFont="1" applyFill="1" applyAlignment="1">
      <alignment horizontal="center"/>
    </xf>
    <xf numFmtId="1" fontId="3" fillId="0" borderId="11" xfId="0" applyNumberFormat="1" applyFont="1" applyBorder="1" applyAlignment="1">
      <alignment horizontal="center" wrapText="1"/>
    </xf>
    <xf numFmtId="1" fontId="3" fillId="0" borderId="10" xfId="0" applyNumberFormat="1" applyFont="1" applyBorder="1" applyAlignment="1">
      <alignment horizontal="center" wrapText="1"/>
    </xf>
    <xf numFmtId="1" fontId="3" fillId="0" borderId="12" xfId="0" applyNumberFormat="1" applyFont="1" applyBorder="1" applyAlignment="1">
      <alignment horizontal="center" wrapText="1"/>
    </xf>
    <xf numFmtId="1" fontId="3" fillId="0" borderId="0" xfId="0" applyNumberFormat="1" applyFont="1" applyAlignment="1">
      <alignment horizontal="center"/>
    </xf>
    <xf numFmtId="0" fontId="5" fillId="0" borderId="26" xfId="0" applyFont="1" applyBorder="1" applyAlignment="1">
      <alignment horizontal="center" wrapText="1"/>
    </xf>
    <xf numFmtId="0" fontId="5" fillId="0" borderId="0" xfId="0" applyFont="1" applyAlignment="1">
      <alignment horizontal="center" wrapText="1"/>
    </xf>
    <xf numFmtId="0" fontId="5" fillId="0" borderId="10" xfId="0" applyFont="1" applyBorder="1" applyAlignment="1">
      <alignment horizontal="center" wrapText="1"/>
    </xf>
    <xf numFmtId="0" fontId="5" fillId="0" borderId="25" xfId="0" applyFont="1" applyBorder="1" applyAlignment="1">
      <alignment horizontal="center" wrapText="1"/>
    </xf>
    <xf numFmtId="0" fontId="5" fillId="0" borderId="42" xfId="0" applyFont="1" applyBorder="1" applyAlignment="1">
      <alignment horizontal="center" wrapText="1"/>
    </xf>
    <xf numFmtId="0" fontId="5" fillId="0" borderId="30" xfId="0" applyFont="1" applyBorder="1" applyAlignment="1">
      <alignment horizontal="center" wrapText="1"/>
    </xf>
    <xf numFmtId="0" fontId="27" fillId="0" borderId="0" xfId="0" applyFont="1" applyAlignment="1">
      <alignment horizontal="center"/>
    </xf>
    <xf numFmtId="0" fontId="42" fillId="2" borderId="37" xfId="0" applyFont="1" applyFill="1" applyBorder="1" applyAlignment="1">
      <alignment horizontal="center"/>
    </xf>
    <xf numFmtId="0" fontId="42" fillId="2" borderId="0" xfId="0" applyFont="1" applyFill="1" applyAlignment="1">
      <alignment horizontal="center" vertical="center"/>
    </xf>
    <xf numFmtId="0" fontId="42" fillId="2" borderId="0" xfId="0" applyFont="1" applyFill="1" applyAlignment="1">
      <alignment horizontal="center"/>
    </xf>
    <xf numFmtId="0" fontId="27" fillId="18" borderId="10" xfId="0" applyFont="1" applyFill="1" applyBorder="1" applyAlignment="1">
      <alignment horizontal="center" vertical="center"/>
    </xf>
    <xf numFmtId="0" fontId="27" fillId="19" borderId="0" xfId="0" applyFont="1" applyFill="1" applyAlignment="1">
      <alignment horizontal="center" vertical="center"/>
    </xf>
    <xf numFmtId="0" fontId="27" fillId="19" borderId="47" xfId="0" applyFont="1" applyFill="1" applyBorder="1" applyAlignment="1">
      <alignment horizontal="center" vertical="center"/>
    </xf>
    <xf numFmtId="14" fontId="47" fillId="0" borderId="71" xfId="0" applyNumberFormat="1" applyFont="1" applyBorder="1" applyAlignment="1">
      <alignment horizontal="center" vertical="center"/>
    </xf>
    <xf numFmtId="14" fontId="47" fillId="0" borderId="72" xfId="0" applyNumberFormat="1" applyFont="1" applyBorder="1" applyAlignment="1">
      <alignment horizontal="center" vertical="center"/>
    </xf>
    <xf numFmtId="14" fontId="47" fillId="0" borderId="73" xfId="0" applyNumberFormat="1" applyFont="1" applyBorder="1" applyAlignment="1">
      <alignment horizontal="center" vertical="center"/>
    </xf>
    <xf numFmtId="0" fontId="48" fillId="10" borderId="0" xfId="0" applyFont="1" applyFill="1" applyAlignment="1">
      <alignment horizontal="left" vertical="center"/>
    </xf>
    <xf numFmtId="0" fontId="48" fillId="10" borderId="47" xfId="0" applyFont="1" applyFill="1" applyBorder="1" applyAlignment="1">
      <alignment horizontal="left" vertical="center"/>
    </xf>
    <xf numFmtId="0" fontId="49" fillId="10" borderId="2" xfId="0" applyFont="1" applyFill="1" applyBorder="1" applyAlignment="1">
      <alignment horizontal="center" vertical="center"/>
    </xf>
    <xf numFmtId="0" fontId="49" fillId="10" borderId="0" xfId="0" applyFont="1" applyFill="1" applyAlignment="1">
      <alignment horizontal="center" vertical="center"/>
    </xf>
    <xf numFmtId="2" fontId="0" fillId="0" borderId="71" xfId="0" applyNumberFormat="1" applyBorder="1" applyAlignment="1">
      <alignment horizontal="center" vertical="center"/>
    </xf>
    <xf numFmtId="2" fontId="0" fillId="0" borderId="72" xfId="0" applyNumberFormat="1" applyBorder="1" applyAlignment="1">
      <alignment horizontal="center" vertical="center"/>
    </xf>
    <xf numFmtId="2" fontId="0" fillId="0" borderId="73" xfId="0" applyNumberFormat="1" applyBorder="1" applyAlignment="1">
      <alignment horizontal="center" vertical="center"/>
    </xf>
    <xf numFmtId="0" fontId="0" fillId="0" borderId="71" xfId="0" applyBorder="1" applyAlignment="1">
      <alignment horizontal="center" vertical="center"/>
    </xf>
    <xf numFmtId="0" fontId="0" fillId="0" borderId="72" xfId="0" applyBorder="1" applyAlignment="1">
      <alignment horizontal="center" vertical="center"/>
    </xf>
    <xf numFmtId="0" fontId="0" fillId="0" borderId="73" xfId="0" applyBorder="1" applyAlignment="1">
      <alignment horizontal="center" vertical="center"/>
    </xf>
    <xf numFmtId="164" fontId="27" fillId="12" borderId="71" xfId="0" applyNumberFormat="1" applyFont="1" applyFill="1" applyBorder="1" applyAlignment="1">
      <alignment horizontal="center" vertical="center"/>
    </xf>
    <xf numFmtId="164" fontId="27" fillId="12" borderId="72" xfId="0" applyNumberFormat="1" applyFont="1" applyFill="1" applyBorder="1" applyAlignment="1">
      <alignment horizontal="center" vertical="center"/>
    </xf>
    <xf numFmtId="164" fontId="27" fillId="12" borderId="73" xfId="0" applyNumberFormat="1" applyFont="1" applyFill="1" applyBorder="1" applyAlignment="1">
      <alignment horizontal="center" vertical="center"/>
    </xf>
    <xf numFmtId="0" fontId="0" fillId="22" borderId="71" xfId="0" applyFill="1" applyBorder="1" applyAlignment="1">
      <alignment horizontal="center" vertical="center"/>
    </xf>
    <xf numFmtId="0" fontId="0" fillId="22" borderId="73" xfId="0" applyFill="1" applyBorder="1" applyAlignment="1">
      <alignment horizontal="center" vertical="center"/>
    </xf>
    <xf numFmtId="14" fontId="27" fillId="0" borderId="71" xfId="0" applyNumberFormat="1" applyFont="1" applyBorder="1" applyAlignment="1">
      <alignment horizontal="center" vertical="center"/>
    </xf>
    <xf numFmtId="14" fontId="27" fillId="0" borderId="73" xfId="0" applyNumberFormat="1" applyFont="1" applyBorder="1" applyAlignment="1">
      <alignment horizontal="center" vertical="center"/>
    </xf>
    <xf numFmtId="14" fontId="27" fillId="0" borderId="72" xfId="0" applyNumberFormat="1" applyFont="1" applyBorder="1" applyAlignment="1">
      <alignment horizontal="center" vertical="center"/>
    </xf>
    <xf numFmtId="14" fontId="27" fillId="0" borderId="10" xfId="0" applyNumberFormat="1" applyFont="1" applyBorder="1" applyAlignment="1">
      <alignment horizontal="center" vertical="center"/>
    </xf>
    <xf numFmtId="14" fontId="27" fillId="0" borderId="75" xfId="0" applyNumberFormat="1" applyFont="1" applyBorder="1" applyAlignment="1">
      <alignment horizontal="center" vertical="center"/>
    </xf>
    <xf numFmtId="14" fontId="27" fillId="0" borderId="11" xfId="0" applyNumberFormat="1" applyFont="1" applyBorder="1" applyAlignment="1">
      <alignment horizontal="center" vertical="center"/>
    </xf>
    <xf numFmtId="10" fontId="0" fillId="0" borderId="2" xfId="0" applyNumberFormat="1" applyBorder="1" applyAlignment="1">
      <alignment horizontal="center" vertical="center"/>
    </xf>
    <xf numFmtId="10" fontId="0" fillId="0" borderId="47" xfId="0" applyNumberFormat="1" applyBorder="1" applyAlignment="1">
      <alignment horizontal="center" vertical="center"/>
    </xf>
    <xf numFmtId="0" fontId="59" fillId="0" borderId="42" xfId="0" applyFont="1" applyBorder="1" applyAlignment="1">
      <alignment horizontal="left" vertical="center" wrapText="1"/>
    </xf>
    <xf numFmtId="0" fontId="59" fillId="0" borderId="0" xfId="0" applyFont="1" applyAlignment="1">
      <alignment horizontal="left" vertical="center" wrapText="1"/>
    </xf>
    <xf numFmtId="0" fontId="59" fillId="0" borderId="43" xfId="0" applyFont="1" applyBorder="1" applyAlignment="1">
      <alignment horizontal="left" vertical="center" wrapText="1"/>
    </xf>
    <xf numFmtId="164" fontId="59" fillId="0" borderId="42" xfId="0" applyNumberFormat="1" applyFont="1" applyBorder="1" applyAlignment="1">
      <alignment horizontal="left" vertical="center"/>
    </xf>
    <xf numFmtId="164" fontId="59" fillId="0" borderId="0" xfId="0" applyNumberFormat="1" applyFont="1" applyAlignment="1">
      <alignment horizontal="left" vertical="center"/>
    </xf>
    <xf numFmtId="164" fontId="59" fillId="0" borderId="43" xfId="0" applyNumberFormat="1" applyFont="1" applyBorder="1" applyAlignment="1">
      <alignment horizontal="left" vertical="center"/>
    </xf>
    <xf numFmtId="0" fontId="0" fillId="0" borderId="2" xfId="0" applyBorder="1" applyAlignment="1">
      <alignment horizontal="center" vertical="center" wrapText="1"/>
    </xf>
    <xf numFmtId="0" fontId="0" fillId="0" borderId="0" xfId="0" applyAlignment="1">
      <alignment horizontal="center" vertical="center" wrapText="1"/>
    </xf>
    <xf numFmtId="0" fontId="0" fillId="0" borderId="47" xfId="0" applyBorder="1" applyAlignment="1">
      <alignment horizontal="center" vertical="center" wrapText="1"/>
    </xf>
    <xf numFmtId="0" fontId="4" fillId="14" borderId="71" xfId="0" applyFont="1" applyFill="1" applyBorder="1" applyAlignment="1">
      <alignment horizontal="center" vertical="center"/>
    </xf>
    <xf numFmtId="0" fontId="4" fillId="14" borderId="72" xfId="0" applyFont="1" applyFill="1" applyBorder="1" applyAlignment="1">
      <alignment horizontal="center" vertical="center"/>
    </xf>
    <xf numFmtId="0" fontId="0" fillId="0" borderId="0" xfId="0" applyAlignment="1">
      <alignment horizontal="center" vertical="center"/>
    </xf>
    <xf numFmtId="9" fontId="0" fillId="0" borderId="2" xfId="0" applyNumberFormat="1" applyBorder="1" applyAlignment="1">
      <alignment horizontal="center" vertical="center"/>
    </xf>
    <xf numFmtId="9" fontId="0" fillId="0" borderId="0" xfId="0" applyNumberFormat="1" applyAlignment="1">
      <alignment horizontal="center" vertical="center"/>
    </xf>
    <xf numFmtId="9" fontId="0" fillId="0" borderId="47" xfId="0" applyNumberFormat="1" applyBorder="1" applyAlignment="1">
      <alignment horizontal="center" vertical="center"/>
    </xf>
    <xf numFmtId="0" fontId="39" fillId="15" borderId="72" xfId="0" applyFont="1" applyFill="1" applyBorder="1" applyAlignment="1">
      <alignment horizontal="center" vertical="center"/>
    </xf>
    <xf numFmtId="0" fontId="39" fillId="15" borderId="73" xfId="0" applyFont="1" applyFill="1" applyBorder="1" applyAlignment="1">
      <alignment horizontal="center" vertical="center"/>
    </xf>
    <xf numFmtId="0" fontId="48" fillId="6" borderId="0" xfId="0" applyFont="1" applyFill="1" applyAlignment="1">
      <alignment horizontal="center" vertical="center"/>
    </xf>
    <xf numFmtId="0" fontId="48" fillId="6" borderId="0" xfId="0" applyFont="1" applyFill="1" applyAlignment="1">
      <alignment horizontal="left" vertical="center"/>
    </xf>
    <xf numFmtId="14" fontId="39" fillId="0" borderId="71" xfId="0" applyNumberFormat="1" applyFont="1" applyBorder="1" applyAlignment="1">
      <alignment horizontal="center" vertical="center"/>
    </xf>
    <xf numFmtId="14" fontId="39" fillId="0" borderId="72" xfId="0" applyNumberFormat="1" applyFont="1" applyBorder="1" applyAlignment="1">
      <alignment horizontal="center" vertical="center"/>
    </xf>
    <xf numFmtId="14" fontId="39" fillId="0" borderId="73" xfId="0" applyNumberFormat="1" applyFont="1" applyBorder="1" applyAlignment="1">
      <alignment horizontal="center" vertical="center"/>
    </xf>
    <xf numFmtId="0" fontId="0" fillId="0" borderId="76" xfId="0" applyBorder="1" applyAlignment="1">
      <alignment horizontal="center" vertical="center"/>
    </xf>
    <xf numFmtId="0" fontId="0" fillId="0" borderId="74" xfId="0" applyBorder="1" applyAlignment="1">
      <alignment horizontal="center" vertical="center"/>
    </xf>
    <xf numFmtId="10" fontId="0" fillId="0" borderId="71" xfId="0" applyNumberFormat="1" applyBorder="1" applyAlignment="1">
      <alignment horizontal="center" vertical="center"/>
    </xf>
    <xf numFmtId="10" fontId="0" fillId="0" borderId="72" xfId="0" applyNumberFormat="1" applyBorder="1" applyAlignment="1">
      <alignment horizontal="center" vertical="center"/>
    </xf>
    <xf numFmtId="10" fontId="0" fillId="0" borderId="73" xfId="0" applyNumberFormat="1" applyBorder="1" applyAlignment="1">
      <alignment horizontal="center" vertical="center"/>
    </xf>
    <xf numFmtId="14" fontId="39" fillId="0" borderId="11" xfId="0" applyNumberFormat="1" applyFont="1" applyBorder="1" applyAlignment="1">
      <alignment horizontal="center" vertical="center"/>
    </xf>
    <xf numFmtId="14" fontId="39" fillId="0" borderId="10" xfId="0" applyNumberFormat="1" applyFont="1" applyBorder="1" applyAlignment="1">
      <alignment horizontal="center" vertical="center"/>
    </xf>
    <xf numFmtId="14" fontId="39" fillId="0" borderId="75" xfId="0" applyNumberFormat="1" applyFont="1" applyBorder="1" applyAlignment="1">
      <alignment horizontal="center" vertical="center"/>
    </xf>
    <xf numFmtId="0" fontId="0" fillId="0" borderId="2" xfId="0" applyBorder="1" applyAlignment="1">
      <alignment horizontal="center" vertical="center"/>
    </xf>
    <xf numFmtId="0" fontId="0" fillId="0" borderId="47" xfId="0" applyBorder="1" applyAlignment="1">
      <alignment horizontal="center" vertical="center"/>
    </xf>
    <xf numFmtId="14" fontId="39" fillId="0" borderId="0" xfId="0" applyNumberFormat="1" applyFont="1" applyAlignment="1">
      <alignment horizontal="center" wrapText="1"/>
    </xf>
    <xf numFmtId="14" fontId="0" fillId="24" borderId="71" xfId="0" applyNumberFormat="1" applyFill="1" applyBorder="1" applyAlignment="1">
      <alignment horizontal="center"/>
    </xf>
    <xf numFmtId="14" fontId="0" fillId="24" borderId="72" xfId="0" applyNumberFormat="1" applyFill="1" applyBorder="1" applyAlignment="1">
      <alignment horizontal="center"/>
    </xf>
    <xf numFmtId="14" fontId="0" fillId="24" borderId="73" xfId="0" applyNumberFormat="1" applyFill="1" applyBorder="1" applyAlignment="1">
      <alignment horizontal="center"/>
    </xf>
    <xf numFmtId="0" fontId="55" fillId="0" borderId="0" xfId="0" applyFont="1" applyAlignment="1">
      <alignment horizontal="center"/>
    </xf>
    <xf numFmtId="166" fontId="0" fillId="0" borderId="0" xfId="0" applyNumberFormat="1" applyAlignment="1">
      <alignment vertical="center"/>
    </xf>
    <xf numFmtId="164" fontId="39" fillId="16" borderId="2" xfId="0" applyNumberFormat="1" applyFont="1" applyFill="1" applyBorder="1" applyAlignment="1">
      <alignment horizontal="center" vertical="center"/>
    </xf>
    <xf numFmtId="164" fontId="39" fillId="16" borderId="0" xfId="0" applyNumberFormat="1" applyFont="1" applyFill="1" applyBorder="1" applyAlignment="1">
      <alignment horizontal="center" vertical="center"/>
    </xf>
    <xf numFmtId="14" fontId="39" fillId="0" borderId="2" xfId="0" applyNumberFormat="1" applyFont="1" applyBorder="1" applyAlignment="1">
      <alignment horizontal="center" vertical="center"/>
    </xf>
    <xf numFmtId="164" fontId="0" fillId="0" borderId="0" xfId="0" applyNumberFormat="1" applyBorder="1" applyAlignment="1">
      <alignment horizontal="center" vertical="center"/>
    </xf>
    <xf numFmtId="0" fontId="27" fillId="0" borderId="0" xfId="0" applyFont="1" applyBorder="1" applyAlignment="1">
      <alignment horizontal="left" vertical="center"/>
    </xf>
    <xf numFmtId="0" fontId="27" fillId="0" borderId="2" xfId="0" applyFont="1" applyBorder="1" applyAlignment="1">
      <alignment horizontal="center" vertical="center" wrapText="1"/>
    </xf>
    <xf numFmtId="0" fontId="27" fillId="0" borderId="0" xfId="0" applyFont="1" applyBorder="1" applyAlignment="1">
      <alignment horizontal="center" vertical="center" wrapText="1"/>
    </xf>
    <xf numFmtId="0" fontId="27" fillId="0" borderId="47" xfId="0" applyFont="1" applyBorder="1" applyAlignment="1">
      <alignment horizontal="center" vertical="center" wrapText="1"/>
    </xf>
    <xf numFmtId="0" fontId="27" fillId="0" borderId="0" xfId="0" applyFont="1" applyBorder="1" applyAlignment="1">
      <alignment horizontal="center" vertical="center"/>
    </xf>
    <xf numFmtId="0" fontId="27" fillId="0" borderId="2" xfId="0" applyFont="1" applyBorder="1" applyAlignment="1">
      <alignment horizontal="center" vertical="center"/>
    </xf>
    <xf numFmtId="10" fontId="27" fillId="0" borderId="47" xfId="0" applyNumberFormat="1" applyFont="1" applyBorder="1" applyAlignment="1">
      <alignment horizontal="center" vertical="center" wrapText="1"/>
    </xf>
    <xf numFmtId="168" fontId="27" fillId="0" borderId="0" xfId="0" applyNumberFormat="1" applyFont="1" applyBorder="1" applyAlignment="1">
      <alignment horizontal="center" vertical="center" wrapText="1"/>
    </xf>
    <xf numFmtId="164" fontId="39" fillId="0" borderId="2" xfId="0" applyNumberFormat="1" applyFont="1" applyBorder="1" applyAlignment="1">
      <alignment horizontal="center" vertical="center" wrapText="1"/>
    </xf>
    <xf numFmtId="164" fontId="39" fillId="0" borderId="0" xfId="0" applyNumberFormat="1" applyFont="1" applyBorder="1" applyAlignment="1">
      <alignment horizontal="center" vertical="center" wrapText="1"/>
    </xf>
    <xf numFmtId="10" fontId="39" fillId="0" borderId="0" xfId="0" applyNumberFormat="1" applyFont="1" applyBorder="1" applyAlignment="1">
      <alignment horizontal="center" vertical="center" wrapText="1"/>
    </xf>
    <xf numFmtId="0" fontId="27" fillId="0" borderId="47" xfId="0" applyFont="1" applyBorder="1" applyAlignment="1">
      <alignment vertical="center"/>
    </xf>
    <xf numFmtId="1" fontId="0" fillId="0" borderId="0" xfId="0" applyNumberFormat="1" applyAlignment="1">
      <alignment vertical="center"/>
    </xf>
    <xf numFmtId="14" fontId="39" fillId="0" borderId="76" xfId="0" applyNumberFormat="1" applyFont="1" applyBorder="1" applyAlignment="1">
      <alignment vertical="center" wrapText="1"/>
    </xf>
    <xf numFmtId="14" fontId="39" fillId="0" borderId="74" xfId="0" applyNumberFormat="1" applyFont="1" applyBorder="1" applyAlignment="1">
      <alignment vertical="center" wrapText="1"/>
    </xf>
    <xf numFmtId="14" fontId="39" fillId="0" borderId="0" xfId="0" applyNumberFormat="1" applyFont="1" applyBorder="1" applyAlignment="1">
      <alignment horizontal="center" vertical="center"/>
    </xf>
    <xf numFmtId="0" fontId="0" fillId="0" borderId="0" xfId="0" applyNumberFormat="1" applyAlignment="1">
      <alignment vertical="center"/>
    </xf>
  </cellXfs>
  <cellStyles count="3">
    <cellStyle name="Calculation" xfId="1" builtinId="22" customBuiltin="1"/>
    <cellStyle name="Hyperlink" xfId="2" builtinId="8"/>
    <cellStyle name="Normal" xfId="0" builtinId="0"/>
  </cellStyles>
  <dxfs count="64">
    <dxf>
      <border>
        <top style="thin">
          <color auto="1"/>
        </top>
        <bottom/>
        <vertical/>
        <horizontal/>
      </border>
    </dxf>
    <dxf>
      <font>
        <color theme="0"/>
      </font>
      <fill>
        <patternFill>
          <bgColor rgb="FF00B050"/>
        </patternFill>
      </fill>
    </dxf>
    <dxf>
      <font>
        <color theme="0"/>
      </font>
      <fill>
        <patternFill>
          <bgColor rgb="FFFF0000"/>
        </patternFill>
      </fill>
    </dxf>
    <dxf>
      <font>
        <color rgb="FFFF0000"/>
      </font>
    </dxf>
    <dxf>
      <font>
        <color rgb="FF00B050"/>
      </font>
    </dxf>
    <dxf>
      <font>
        <color rgb="FF00B050"/>
      </font>
    </dxf>
    <dxf>
      <font>
        <color rgb="FFFF0000"/>
      </font>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bottom/>
        <vertical/>
        <horizontal/>
      </border>
    </dxf>
    <dxf>
      <border>
        <top style="thin">
          <color auto="1"/>
        </top>
        <bottom/>
        <vertical/>
        <horizontal/>
      </border>
    </dxf>
    <dxf>
      <font>
        <color theme="0"/>
      </font>
    </dxf>
    <dxf>
      <font>
        <color theme="0"/>
      </font>
    </dxf>
    <dxf>
      <border>
        <top style="thin">
          <color auto="1"/>
        </top>
        <bottom/>
        <vertical/>
        <horizontal/>
      </border>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border>
        <top style="thin">
          <color auto="1"/>
        </top>
        <bottom/>
        <vertical/>
        <horizontal/>
      </border>
    </dxf>
    <dxf>
      <font>
        <color theme="0"/>
      </font>
      <fill>
        <patternFill>
          <bgColor rgb="FFFF0000"/>
        </patternFill>
      </fill>
    </dxf>
    <dxf>
      <font>
        <color theme="0"/>
      </font>
      <fill>
        <patternFill>
          <bgColor rgb="FFFF0000"/>
        </patternFill>
      </fill>
    </dxf>
    <dxf>
      <font>
        <color theme="0"/>
      </font>
      <fill>
        <patternFill>
          <bgColor rgb="FFFF0000"/>
        </patternFill>
      </fill>
    </dxf>
    <dxf>
      <border>
        <top style="thin">
          <color auto="1"/>
        </top>
        <bottom/>
        <vertical/>
        <horizontal/>
      </border>
    </dxf>
    <dxf>
      <border>
        <top style="thin">
          <color auto="1"/>
        </top>
        <vertical/>
        <horizontal/>
      </border>
    </dxf>
    <dxf>
      <border>
        <top style="thin">
          <color auto="1"/>
        </top>
        <bottom/>
        <vertical/>
        <horizontal/>
      </border>
    </dxf>
    <dxf>
      <border>
        <top style="thin">
          <color auto="1"/>
        </top>
        <bottom/>
        <vertical/>
        <horizontal/>
      </border>
    </dxf>
    <dxf>
      <border>
        <top style="thin">
          <color auto="1"/>
        </top>
        <bottom/>
        <vertical/>
        <horizontal/>
      </border>
    </dxf>
    <dxf>
      <font>
        <color theme="0"/>
      </font>
      <fill>
        <patternFill>
          <bgColor rgb="FF00B050"/>
        </patternFill>
      </fill>
    </dxf>
    <dxf>
      <font>
        <color theme="0"/>
      </font>
      <fill>
        <patternFill>
          <bgColor rgb="FFFF0000"/>
        </patternFill>
      </fill>
    </dxf>
    <dxf>
      <border>
        <top style="thin">
          <color auto="1"/>
        </top>
        <vertical/>
        <horizontal/>
      </border>
    </dxf>
    <dxf>
      <border>
        <top style="thin">
          <color auto="1"/>
        </top>
        <vertical/>
        <horizontal/>
      </border>
    </dxf>
    <dxf>
      <font>
        <color rgb="FFFF0000"/>
      </font>
    </dxf>
    <dxf>
      <font>
        <color rgb="FF00B050"/>
      </font>
    </dxf>
    <dxf>
      <font>
        <color rgb="FFFF0000"/>
      </font>
    </dxf>
    <dxf>
      <font>
        <color rgb="FF00B050"/>
      </font>
    </dxf>
    <dxf>
      <font>
        <color rgb="FF00B050"/>
      </font>
    </dxf>
    <dxf>
      <font>
        <color rgb="FFFF0000"/>
      </font>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border>
        <top style="thin">
          <color auto="1"/>
        </top>
        <bottom/>
        <vertical/>
        <horizontal/>
      </border>
    </dxf>
    <dxf>
      <border>
        <top style="thin">
          <color auto="1"/>
        </top>
        <bottom/>
        <vertical/>
        <horizontal/>
      </border>
    </dxf>
    <dxf>
      <border>
        <top style="thin">
          <color auto="1"/>
        </top>
        <bottom/>
        <vertical/>
        <horizontal/>
      </border>
    </dxf>
    <dxf>
      <border>
        <top style="thin">
          <color auto="1"/>
        </top>
        <bottom/>
        <vertical/>
        <horizontal/>
      </border>
    </dxf>
  </dxfs>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person displayName="Rob Squire" id="{B8053416-8BDF-49FD-8CE9-C53CA785BC17}" userId="1689cbfe4b188a7d" providerId="Windows Liv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D14" dT="2021-06-18T17:13:07.25" personId="{B8053416-8BDF-49FD-8CE9-C53CA785BC17}" id="{10DFECD6-7708-4B1C-A783-A6AAAD08B113}">
    <text>ISHARES Core Aggregate Bond ETF</text>
  </threadedComment>
  <threadedComment ref="HI14" dT="2021-07-08T16:28:47.50" personId="{B8053416-8BDF-49FD-8CE9-C53CA785BC17}" id="{3924E87A-FE1B-4CC0-8284-66C7DE5859D7}">
    <text>ABBVIE Inc</text>
  </threadedComment>
  <threadedComment ref="JP14" dT="2021-06-05T15:53:44.49" personId="{B8053416-8BDF-49FD-8CE9-C53CA785BC17}" id="{8531775E-BFF8-4DD4-BBF1-51D13C491A5F}">
    <text>Organon &amp; Co</text>
  </threadedComment>
  <threadedComment ref="LG14" dT="2021-06-18T17:13:07.25" personId="{B8053416-8BDF-49FD-8CE9-C53CA785BC17}" id="{0FB4AF1D-542F-409F-BA76-8851B58B9033}">
    <text>ISHARES Core Aggregate Bond ETF</text>
  </threadedComment>
  <threadedComment ref="G77" dT="2021-05-11T11:56:29.34" personId="{B8053416-8BDF-49FD-8CE9-C53CA785BC17}" id="{F2577DE9-A6E1-4641-8D36-F467E6DBD7C8}">
    <text>5/10/2021 – Sold all 4,258.273 FTBFX @ 11.06 ($46,985.90)</text>
  </threadedComment>
  <threadedComment ref="P77" dT="2021-05-12T18:31:47.10" personId="{B8053416-8BDF-49FD-8CE9-C53CA785BC17}" id="{29F8A73F-FD99-443C-ABE3-13B40B0B839D}">
    <text>5/11/2021 – Bought 4,259.828 shares THOPX @ 11.03 ($46,985.90)</text>
  </threadedComment>
  <threadedComment ref="BR77" dT="2021-05-30T20:16:52.14" personId="{B8053416-8BDF-49FD-8CE9-C53CA785BC17}" id="{D5BA53BB-52C0-4D27-A6C3-B02CA9C1008D}">
    <text>5/17/2021 Bought 80 KO [Coca Cola] @ 54.6001 ($4,368.01) [beta =  0.81]
5/21/2021 Bought 40 more KO @54.5608 ($2,182.43)
Total is 120 shares at 54.587 ($6,550.44)</text>
  </threadedComment>
  <threadedComment ref="BY77" dT="2021-05-30T20:18:42.75" personId="{B8053416-8BDF-49FD-8CE9-C53CA785BC17}" id="{E24C47ED-AF23-45CE-8068-BE9D9513AF30}">
    <text>5/17/2021 Bought 35 PG [Procter &amp; Gamble) @137.77 ($4,821.95) [beta =  0.59]
5/21/2021 Bought 10 more PG @138.471 ($1,384.71)
Total is 45 shares @137.926 ($6,206.66)</text>
  </threadedComment>
  <threadedComment ref="CM77" dT="2021-05-30T20:19:51.33" personId="{B8053416-8BDF-49FD-8CE9-C53CA785BC17}" id="{A2B79912-0971-4CBE-841A-4ECE3732D0A1}">
    <text>5/17/2021 Bought 150 VEA @51.375 ($7,706.25) (tax managed??) [beta =  1.03]</text>
  </threadedComment>
  <threadedComment ref="DM77" dT="2021-05-30T20:21:16.34" personId="{B8053416-8BDF-49FD-8CE9-C53CA785BC17}" id="{6FA084FE-0DC6-4909-BA50-53E26D78BFA5}">
    <text>5/21/2021 Bought 125 MBB [ISHARES MBS ETF] @108.355 ($13,544.38)</text>
  </threadedComment>
  <threadedComment ref="DP77" dT="2021-05-30T20:18:57.58" personId="{B8053416-8BDF-49FD-8CE9-C53CA785BC17}" id="{EFA4B870-44EC-4548-B10B-362FEF9C16B7}">
    <text>5/17/2021 Bought 250 SCHR @ 56.701 ($14,175.25) (Treasure ETF, so beta ~0)</text>
  </threadedComment>
  <threadedComment ref="DR77" dT="2021-05-30T20:24:43.93" personId="{B8053416-8BDF-49FD-8CE9-C53CA785BC17}" id="{06027989-065F-4EA9-BD53-EC6B221D2F79}">
    <text>5/21/2021 Bought 100 VCIT [Vanguard Int Term Corp Bond] @93.985 ($9,398.50)</text>
  </threadedComment>
  <threadedComment ref="LH77" dT="2021-05-30T20:09:25.97" personId="{B8053416-8BDF-49FD-8CE9-C53CA785BC17}" id="{7E49E121-FB72-4FE0-9D95-B336DFC7BBD2}">
    <text>5/17/2021Bought 1 AMZN @ 3263.98 ($3,263.98) [beta =  0.85]
5/21/2021Sold all 1 AMZN @3209.4 ($3,209.38)</text>
  </threadedComment>
  <threadedComment ref="LK77" dT="2021-05-30T20:20:38.45" personId="{B8053416-8BDF-49FD-8CE9-C53CA785BC17}" id="{202E36AC-7484-4FF6-9AF5-D04D0FA00DAA}">
    <text>5/21/2021 Bought 125 BCE [BCE Inc] @49.56 ($6,195.00)</text>
  </threadedComment>
  <threadedComment ref="LO77" dT="2021-05-30T20:17:08.15" personId="{B8053416-8BDF-49FD-8CE9-C53CA785BC17}" id="{E4855E2D-4DBA-4D32-A58C-886C9920E596}">
    <text>5/17/2021 Bought 50 CTSH @ 70.1716 ($3,508.58) [beta =  0.84]
5/21/2021 Sold all 50 CTSH @ 71.445 ($3,572.23)</text>
  </threadedComment>
  <threadedComment ref="LP77" dT="2021-05-30T20:38:12.54" personId="{B8053416-8BDF-49FD-8CE9-C53CA785BC17}" id="{84545132-6001-402C-BAA8-54CBAF10F8D1}">
    <text>5/14/2021 Xferred in 406.558 shares from Rob's IRA
5/17/2021 Sold all 406 CWB @ 81.025 ($32,895.98)</text>
  </threadedComment>
  <threadedComment ref="LS77" dT="2021-05-30T20:17:21.75" personId="{B8053416-8BDF-49FD-8CE9-C53CA785BC17}" id="{39221D83-1A3A-4D2C-AB7A-7BF300C0A301}">
    <text>5/17/2021 Bought 10 FB @ 315.0273 ($3,150.27) [beta =  1.29]
5/21/2021 Sold all 10 FB @317.521 ($3,175.19)</text>
  </threadedComment>
  <threadedComment ref="LV77" dT="2021-05-30T20:32:30.23" personId="{B8053416-8BDF-49FD-8CE9-C53CA785BC17}" id="{24AF8350-C691-4B2D-BC65-FF28F3EDBBCA}">
    <text>5/14/2021 Transferred in from Rob's IRA 4,007.128 shares
5/17/2021 Sold all 4,007.228 FSHBX @ 8.74 ($35,023.17)</text>
  </threadedComment>
  <threadedComment ref="LW77" dT="2021-05-30T20:17:38.58" personId="{B8053416-8BDF-49FD-8CE9-C53CA785BC17}" id="{A309B543-942D-40A1-BF66-4F7480BD732C}">
    <text>5/17/2021 Bought 20 GD @ 191.8643 ($3,837.29) [beta =  1.24]
5/21/2021 Sold all 20 GD @189.89 ($3,797.78)</text>
  </threadedComment>
  <threadedComment ref="LX77" dT="2021-05-30T20:08:14.37" personId="{B8053416-8BDF-49FD-8CE9-C53CA785BC17}" id="{88182E4B-7917-4853-82AC-4DDD51033D18}">
    <text>5/17/2021 Bought 2 GOOGL @ 2282.495 ($4,564.99) [beta = 1.03]
5/21/2021 Sold all 2 GOOGL @2292.92 ($4,585.81)</text>
  </threadedComment>
  <threadedComment ref="MA77" dT="2021-05-30T20:33:42.35" personId="{B8053416-8BDF-49FD-8CE9-C53CA785BC17}" id="{4E5CBF85-5183-45E2-9048-2C60546F7D4D}">
    <text>5/14/2021 Xferred in 310.963 shares from Rob's IRA
5/17/2021 Sold 310 ICVT @ 94.405 ($29,265.40)</text>
  </threadedComment>
  <threadedComment ref="MC77" dT="2021-05-30T20:17:52.34" personId="{B8053416-8BDF-49FD-8CE9-C53CA785BC17}" id="{8A611523-4C7B-4F2A-B771-8CDF5CE1C244}">
    <text>5/17/2021 Bought 30 JPM @ 164.375 ($4,931.25) [beta =  1.28]
5/21/2021 Sold all 30 JPM @162.9524 ($4,888.54)</text>
  </threadedComment>
  <threadedComment ref="ME77" dT="2021-05-30T20:16:52.14" personId="{B8053416-8BDF-49FD-8CE9-C53CA785BC17}" id="{6BC2FCCB-08F3-43A5-AB54-99BE6E776AD2}">
    <text>5/17/2021 Bought 80 KO [Coca Cola] @ 54.6001 ($4,368.01) [beta =  0.81]
5/21/2021 Bought 40 more KO @54.5608 ($2,182.43)
Total is 120 shares at 54.587 ($6,550.44)</text>
  </threadedComment>
  <threadedComment ref="MH77" dT="2021-05-30T20:22:41.29" personId="{B8053416-8BDF-49FD-8CE9-C53CA785BC17}" id="{139ADD60-EA07-4275-8960-450E2647735E}">
    <text>5/21/2021 Bought 16 LMT [Lockheed Martin] @387.26 ($6,196.16)</text>
  </threadedComment>
  <threadedComment ref="MI77" dT="2021-05-30T20:21:16.34" personId="{B8053416-8BDF-49FD-8CE9-C53CA785BC17}" id="{8F077C27-1240-4B4F-91A8-6C7B3DD52070}">
    <text>5/21/2021 Bought 125 MBB [ISHARES MBS ETF] @108.355 ($13,544.38)</text>
  </threadedComment>
  <threadedComment ref="MJ77" dT="2021-05-30T20:19:20.81" personId="{B8053416-8BDF-49FD-8CE9-C53CA785BC17}" id="{12D0E4C0-3EF3-493B-91B5-5AAA39C7310E}">
    <text>5/17/2021 Bought 20 MMM @ 205.105 ($4,102.10) [beta =  0.78]
5/21/2021 Sold all 20 MMM @202.0632 ($4,041.23)</text>
  </threadedComment>
  <threadedComment ref="MK77" dT="2021-05-30T20:18:05.75" personId="{B8053416-8BDF-49FD-8CE9-C53CA785BC17}" id="{C7E98E78-EDC1-454D-956C-686FBC1F5010}">
    <text>5/17/2021 Bought 15 MSFT @ 244.23 ($3,663.45) [beta =  0.92]
5/21/2021 Sold all 15 MSFT @245.475 ($3,682.11)</text>
  </threadedComment>
  <threadedComment ref="MN77" dT="2021-05-30T20:18:42.75" personId="{B8053416-8BDF-49FD-8CE9-C53CA785BC17}" id="{2C5DDB0F-0B2F-42AA-B507-3B7E0878D0FD}">
    <text>5/17/2021 Bought 35 PG [Procter &amp; Gamble) @137.77 ($4,821.95) [beta =  0.59]
5/21/2021 Bought 10 more PG @138.471 ($1,384.71)
Total is 45 shares @137.926 ($6,206.66)</text>
  </threadedComment>
  <threadedComment ref="MO77" dT="2021-05-30T20:18:24.74" personId="{B8053416-8BDF-49FD-8CE9-C53CA785BC17}" id="{71E29C0D-3229-40C8-B9BE-A7B1D4C76727}">
    <text>5/17/2021 Bought 45 PM [Phillip Morris] @ 97.57 ($4,390.65) [beta =  0.8]
5/21/2021 Bought 20 PM @97.30 ($1,946.00)
Total is 65 shares @97.487 ($6,336.65)</text>
  </threadedComment>
  <threadedComment ref="MP77" dT="2021-05-30T20:23:06.30" personId="{B8053416-8BDF-49FD-8CE9-C53CA785BC17}" id="{79742A59-5BE3-4B9E-B7A3-B8DFEC371B20}">
    <text>5/21/2021 Bought 75 PNW [Pinnacle West Capital Corp Com NPV] @85.9434 ($6,445.76)</text>
  </threadedComment>
  <threadedComment ref="MR77" dT="2021-05-30T20:23:27.13" personId="{B8053416-8BDF-49FD-8CE9-C53CA785BC17}" id="{66926A9B-215B-451E-A89A-34836187BA69}">
    <text>5/21/2021 Bought 150 RHHBY [Roche Holdings] @43.297 ($6,494.55)</text>
  </threadedComment>
  <threadedComment ref="MS77" dT="2021-05-30T20:19:09.47" personId="{B8053416-8BDF-49FD-8CE9-C53CA785BC17}" id="{F0D42280-AF28-4C11-A4FC-BD141AF9558F}">
    <text>5/17/2021 Bought 40 SBUX @ 110.64 ($4,425.60) [beta =  1.01]
5/21/2021 Sold all 40 SBUX @110.7618 ($4,430.44)</text>
  </threadedComment>
  <threadedComment ref="MV77" dT="2021-05-30T20:18:57.58" personId="{B8053416-8BDF-49FD-8CE9-C53CA785BC17}" id="{817766DE-C3C8-48FB-92E3-31F724394A68}">
    <text>5/17/2021 Bought 250 SCHR @ 56.701 ($14,175.25) (Treasure ETF, so beta ~0)</text>
  </threadedComment>
  <threadedComment ref="MW77" dT="2021-05-30T20:22:04.90" personId="{B8053416-8BDF-49FD-8CE9-C53CA785BC17}" id="{0BCF4AAC-64FB-41EE-87E0-219A16DE8A6A}">
    <text>5/21/2021 Bought 100 SHYG [ISHARES Trust 0-5 yr High Yield Corp Bd] @45.76 ($4,576.00)</text>
  </threadedComment>
  <threadedComment ref="MY77" dT="2021-05-30T20:35:28.41" personId="{B8053416-8BDF-49FD-8CE9-C53CA785BC17}" id="{F497991D-51EC-4BE4-BE1C-85C014036252}">
    <text>5/14/2021 Xferred in 1,768.498 shares from Rob's IRA
5/17/2021  Sold all 1,768.498 THOPX @ 11.05 ($19,541.90)</text>
  </threadedComment>
  <threadedComment ref="MZ77" dT="2021-05-30T20:36:49.33" personId="{B8053416-8BDF-49FD-8CE9-C53CA785BC17}" id="{AA6F5829-8882-43E6-BA40-F6B639C64359}">
    <text>5/14/2021 Xferred in 18,762.134 shares from Rob's IRA
5/17/2021 Sold all 18,762.134 TRBUX @5.09 ($95,499.26)</text>
  </threadedComment>
  <threadedComment ref="NB77" dT="2021-05-30T20:19:39.92" personId="{B8053416-8BDF-49FD-8CE9-C53CA785BC17}" id="{9E805FEF-6461-4F8E-BCD1-BE566952F256}">
    <text>5/17/2021 Bought 20 UNP @ 224.4602 ($4,489.20) [beta =  1.2]
5/21/2021 Sold all 20 UNP @222.10 ($4,441.97)</text>
  </threadedComment>
  <threadedComment ref="NC77" dT="2021-05-30T20:24:43.93" personId="{B8053416-8BDF-49FD-8CE9-C53CA785BC17}" id="{0D1672C4-7E46-49A6-AB5E-C09E720A0D3F}">
    <text>5/21/2021 Bought 100 VCIT [Vanguard Int Term Corp Bond] @93.985 ($9,398.50)</text>
  </threadedComment>
  <threadedComment ref="NG77" dT="2021-05-30T20:19:51.33" personId="{B8053416-8BDF-49FD-8CE9-C53CA785BC17}" id="{3C62E2F1-18CB-4735-A4E3-D22C45F77E2B}">
    <text>5/17/2021 Bought 150 VEA @51.375 ($7,706.25) (tax managed??) [beta =  1.03]</text>
  </threadedComment>
  <threadedComment ref="NJ77" dT="2021-05-30T20:20:04.51" personId="{B8053416-8BDF-49FD-8CE9-C53CA785BC17}" id="{8CFCCB43-E1EC-4A65-87FB-8C194B88D11E}">
    <text>5/17/2021 Bought 75 VWO @ 51.79 ($3,884.25) [beta =  0.98]
5/21/20321 Sold all 75 VWO @52.1217 ($3,909.11)</text>
  </threadedComment>
  <threadedComment ref="NK77" dT="2021-05-30T20:20:15.28" personId="{B8053416-8BDF-49FD-8CE9-C53CA785BC17}" id="{529C7615-1298-48B6-BC96-4D19094BF520}">
    <text>5/17/2021 Bought 80 VZ [Verizon] @ 57.975 ($4,638.00) [beta =  0.48]
5/21/2021 Bought 40 VZ @ 56.94 ($2,277.60)
Total of 120 VZ @57.63 ($6,915.60)</text>
  </threadedComment>
  <threadedComment ref="NY77" dT="2021-05-30T20:51:32.33" personId="{B8053416-8BDF-49FD-8CE9-C53CA785BC17}" id="{09DAEE8D-2365-4C89-BEB5-F9FB4F1599DB}">
    <text>5/21/2021 Sold all 3,434.895 shares of FSHBX @ 8.74 ($30,020.98)</text>
  </threadedComment>
  <threadedComment ref="P78" dT="2021-06-30T15:11:24.97" personId="{B8053416-8BDF-49FD-8CE9-C53CA785BC17}" id="{F51BB3B7-9DFA-4515-A1F3-BE56E00A46FF}">
    <text>6/28/2021 Bought 2,714.932 shares THOPX @ 11.05 ($30,000.00)
Total of 6,974.76 shares at an avg of 11.038 $76,985.90</text>
  </threadedComment>
  <threadedComment ref="JP78" dT="2021-06-05T15:55:45.64" personId="{B8053416-8BDF-49FD-8CE9-C53CA785BC17}" id="{B6CF6789-680B-456E-A4F6-2DE2204A1F0A}">
    <text>6/5/2021 Distribution spinoff from MRK.  21 shares @ 34.15 ($717.15</text>
  </threadedComment>
  <threadedComment ref="JL79" dT="2021-07-08T16:27:48.25" personId="{B8053416-8BDF-49FD-8CE9-C53CA785BC17}" id="{91D0B0C5-D29F-4BDB-ACF0-ECED956F3656}">
    <text>7/7/21 Sold all 210 MRK @78.3753 ($16,458.72)</text>
  </threadedComment>
  <threadedComment ref="JP79" dT="2021-07-08T16:28:08.90" personId="{B8053416-8BDF-49FD-8CE9-C53CA785BC17}" id="{3D59C44B-6E5E-4823-AAA9-83D7AE1FB100}">
    <text>7/7/21 Sold all 21 OGN @29.9591 ($629.13)</text>
  </threadedComment>
  <threadedComment ref="HK80" dT="2021-08-24T22:22:24.40" personId="{B8053416-8BDF-49FD-8CE9-C53CA785BC17}" id="{B4AB9949-C52A-4704-9F83-0D0A3DBEB7BC}">
    <text>8/23/2021 Sold all 45 APD@268.7125 ($12,091.99)</text>
  </threadedComment>
  <threadedComment ref="LK80" dT="2021-08-24T22:35:31.90" personId="{B8053416-8BDF-49FD-8CE9-C53CA785BC17}" id="{9C4C1B05-1D3D-4F88-8E6F-25E1C348FB07}">
    <text>8/23/2021 Sold all 125 BCE @ 51.2024 ($6,400.26)</text>
  </threadedComment>
</ThreadedComments>
</file>

<file path=xl/threadedComments/threadedComment2.xml><?xml version="1.0" encoding="utf-8"?>
<ThreadedComments xmlns="http://schemas.microsoft.com/office/spreadsheetml/2018/threadedcomments" xmlns:x="http://schemas.openxmlformats.org/spreadsheetml/2006/main">
  <threadedComment ref="A107" dT="2021-06-18T17:13:07.25" personId="{B8053416-8BDF-49FD-8CE9-C53CA785BC17}" id="{F37776BD-A444-464A-8BC7-26EC1F639312}">
    <text>ISHARES Core Aggregate Bond ETF</text>
  </threadedComment>
</ThreadedComments>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ogle.com/finance/quote/FIDUSTMP:INDEXCME?sa=X&amp;ved=2ahUKEwjJ3Krjq6uPAxVeBUQIHZj8FLMQ3ecFegQIIBAb" TargetMode="External"/><Relationship Id="rId1" Type="http://schemas.openxmlformats.org/officeDocument/2006/relationships/hyperlink" Target="https://www.bloomberg.com/quote/LBUSTRUU:IND?embedded-checkout=true" TargetMode="External"/><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R500"/>
  <sheetViews>
    <sheetView zoomScale="75" zoomScaleNormal="75" workbookViewId="0">
      <pane xSplit="1" ySplit="16" topLeftCell="B108" activePane="bottomRight" state="frozen"/>
      <selection pane="topRight" activeCell="B1" sqref="B1"/>
      <selection pane="bottomLeft" activeCell="A17" sqref="A17"/>
      <selection pane="bottomRight" activeCell="AI150" sqref="AI150"/>
    </sheetView>
  </sheetViews>
  <sheetFormatPr defaultColWidth="10.54296875" defaultRowHeight="18.5" x14ac:dyDescent="0.45"/>
  <cols>
    <col min="1" max="1" width="17.54296875" style="193" customWidth="1"/>
    <col min="2" max="2" width="16.1796875" customWidth="1"/>
    <col min="3" max="3" width="11.81640625" customWidth="1"/>
    <col min="4" max="4" width="1.453125" customWidth="1"/>
    <col min="5" max="5" width="8.81640625" customWidth="1"/>
    <col min="6" max="6" width="1.453125" customWidth="1"/>
    <col min="7" max="7" width="1.81640625" customWidth="1"/>
    <col min="8" max="10" width="1.54296875" customWidth="1"/>
    <col min="11" max="11" width="1" customWidth="1"/>
    <col min="12" max="12" width="2.1796875" customWidth="1"/>
    <col min="13" max="13" width="1.54296875" customWidth="1"/>
    <col min="14" max="14" width="2.453125" customWidth="1"/>
    <col min="15" max="15" width="1.54296875" customWidth="1"/>
    <col min="16" max="16" width="2.1796875" customWidth="1"/>
    <col min="17" max="17" width="1.54296875" customWidth="1"/>
    <col min="18" max="18" width="1.81640625" customWidth="1"/>
    <col min="19" max="20" width="1.54296875" customWidth="1"/>
    <col min="21" max="22" width="1.453125" customWidth="1"/>
    <col min="23" max="23" width="10.7265625" bestFit="1" customWidth="1"/>
    <col min="24" max="24" width="3.1796875" customWidth="1"/>
    <col min="25" max="25" width="8" hidden="1" customWidth="1"/>
    <col min="26" max="26" width="8.81640625" hidden="1" customWidth="1"/>
    <col min="27" max="27" width="8.81640625" style="217" hidden="1" customWidth="1"/>
    <col min="28" max="28" width="12" bestFit="1" customWidth="1"/>
    <col min="29" max="29" width="2.453125" customWidth="1"/>
    <col min="30" max="31" width="10.54296875" customWidth="1"/>
    <col min="32" max="32" width="1.54296875" customWidth="1"/>
    <col min="33" max="35" width="10.54296875" customWidth="1"/>
    <col min="36" max="36" width="1.453125" customWidth="1"/>
    <col min="37" max="38" width="10.54296875" customWidth="1"/>
    <col min="39" max="39" width="1.54296875" customWidth="1"/>
    <col min="40" max="40" width="10.54296875" customWidth="1"/>
    <col min="41" max="42" width="1.26953125" customWidth="1"/>
    <col min="43" max="44" width="10.54296875" customWidth="1"/>
    <col min="45" max="47" width="1.54296875" customWidth="1"/>
    <col min="48" max="49" width="10.54296875" customWidth="1"/>
    <col min="50" max="53" width="1.54296875" customWidth="1"/>
    <col min="54" max="59" width="10.54296875" customWidth="1"/>
    <col min="60" max="60" width="1.54296875" customWidth="1"/>
    <col min="61" max="62" width="10.54296875" customWidth="1"/>
    <col min="63" max="64" width="1.54296875" customWidth="1"/>
    <col min="65" max="67" width="10.54296875" customWidth="1"/>
    <col min="68" max="68" width="1.54296875" customWidth="1"/>
    <col min="69" max="69" width="14.54296875" customWidth="1"/>
    <col min="70" max="70" width="1.54296875" customWidth="1"/>
    <col min="71" max="71" width="10.54296875" customWidth="1"/>
    <col min="72" max="72" width="1.54296875" customWidth="1"/>
    <col min="73" max="73" width="10.54296875" customWidth="1"/>
    <col min="74" max="75" width="1.54296875" customWidth="1"/>
    <col min="76" max="77" width="1.81640625" customWidth="1"/>
    <col min="78" max="78" width="10.54296875" customWidth="1"/>
    <col min="79" max="82" width="1.54296875" customWidth="1"/>
    <col min="83" max="83" width="10.54296875" customWidth="1"/>
    <col min="84" max="84" width="1.54296875" customWidth="1"/>
    <col min="85" max="85" width="10.54296875" customWidth="1"/>
    <col min="86" max="86" width="1.54296875" customWidth="1"/>
    <col min="87" max="87" width="10.54296875" customWidth="1"/>
    <col min="88" max="90" width="1.54296875" customWidth="1"/>
    <col min="91" max="91" width="10.54296875" customWidth="1"/>
    <col min="92" max="92" width="1.54296875" customWidth="1"/>
    <col min="93" max="93" width="10.54296875" customWidth="1"/>
    <col min="94" max="94" width="1.54296875" customWidth="1"/>
    <col min="95" max="95" width="10.54296875" customWidth="1"/>
    <col min="96" max="96" width="1.54296875" customWidth="1"/>
    <col min="97" max="97" width="2" customWidth="1"/>
    <col min="98" max="98" width="10.26953125" customWidth="1"/>
    <col min="99" max="100" width="10.54296875" customWidth="1"/>
    <col min="101" max="101" width="1.54296875" customWidth="1"/>
    <col min="102" max="102" width="10.54296875" customWidth="1"/>
    <col min="103" max="103" width="10.54296875" hidden="1" customWidth="1"/>
    <col min="104" max="104" width="10.54296875" customWidth="1"/>
    <col min="105" max="105" width="3" customWidth="1"/>
    <col min="106" max="106" width="19.26953125" customWidth="1"/>
    <col min="107" max="107" width="10.81640625" customWidth="1"/>
    <col min="108" max="125" width="10.54296875" customWidth="1"/>
    <col min="126" max="126" width="2.453125" customWidth="1"/>
    <col min="127" max="127" width="11.81640625" customWidth="1"/>
    <col min="128" max="128" width="2.453125" customWidth="1"/>
    <col min="129" max="130" width="10.54296875" style="32" customWidth="1"/>
    <col min="131" max="134" width="1.54296875" style="32" customWidth="1"/>
    <col min="135" max="136" width="10.54296875" style="32" customWidth="1"/>
    <col min="137" max="137" width="1.54296875" style="32" customWidth="1"/>
    <col min="138" max="138" width="3" style="32" customWidth="1"/>
    <col min="139" max="139" width="10.54296875" style="32" hidden="1" customWidth="1"/>
    <col min="140" max="140" width="10.54296875" style="32" customWidth="1"/>
    <col min="141" max="141" width="2.453125" customWidth="1"/>
    <col min="142" max="142" width="19.1796875" customWidth="1"/>
    <col min="143" max="143" width="11.81640625" customWidth="1"/>
    <col min="144" max="144" width="19.1796875" style="1" customWidth="1"/>
    <col min="145" max="145" width="2.26953125" customWidth="1"/>
    <col min="146" max="146" width="19.1796875" customWidth="1"/>
    <col min="147" max="147" width="2.26953125" style="469" customWidth="1"/>
    <col min="148" max="148" width="5.1796875" customWidth="1"/>
    <col min="149" max="149" width="17.1796875" hidden="1" customWidth="1"/>
    <col min="150" max="150" width="2.1796875" hidden="1" customWidth="1"/>
    <col min="151" max="151" width="1.54296875" hidden="1" customWidth="1"/>
    <col min="152" max="152" width="1.453125" hidden="1" customWidth="1"/>
    <col min="153" max="153" width="1.81640625" hidden="1" customWidth="1"/>
    <col min="154" max="154" width="10" hidden="1" customWidth="1"/>
    <col min="155" max="157" width="1.81640625" hidden="1" customWidth="1"/>
    <col min="158" max="158" width="1.54296875" hidden="1" customWidth="1"/>
    <col min="159" max="159" width="2.453125" hidden="1" customWidth="1"/>
    <col min="160" max="173" width="1.81640625" hidden="1" customWidth="1"/>
    <col min="174" max="174" width="10.81640625" style="1" hidden="1" customWidth="1"/>
    <col min="175" max="175" width="1.81640625" hidden="1" customWidth="1"/>
    <col min="176" max="176" width="8.54296875" hidden="1" customWidth="1"/>
    <col min="177" max="177" width="8.453125" hidden="1" customWidth="1"/>
    <col min="178" max="178" width="2.453125" hidden="1" customWidth="1"/>
    <col min="179" max="179" width="8.54296875" hidden="1" customWidth="1"/>
    <col min="180" max="180" width="2.453125" hidden="1" customWidth="1"/>
    <col min="181" max="181" width="8.453125" hidden="1" customWidth="1"/>
    <col min="182" max="185" width="1.54296875" hidden="1" customWidth="1"/>
    <col min="186" max="186" width="8.54296875" hidden="1" customWidth="1"/>
    <col min="187" max="187" width="1.81640625" hidden="1" customWidth="1"/>
    <col min="188" max="188" width="1.54296875" hidden="1" customWidth="1"/>
    <col min="189" max="189" width="9.453125" hidden="1" customWidth="1"/>
    <col min="190" max="190" width="1.81640625" hidden="1" customWidth="1"/>
    <col min="191" max="191" width="1.453125" hidden="1" customWidth="1"/>
    <col min="192" max="193" width="1.81640625" hidden="1" customWidth="1"/>
    <col min="194" max="194" width="2" hidden="1" customWidth="1"/>
    <col min="195" max="195" width="1.54296875" hidden="1" customWidth="1"/>
    <col min="196" max="197" width="1.81640625" hidden="1" customWidth="1"/>
    <col min="198" max="198" width="9.1796875" hidden="1" customWidth="1"/>
    <col min="199" max="199" width="2.26953125" hidden="1" customWidth="1"/>
    <col min="200" max="200" width="2.1796875" hidden="1" customWidth="1"/>
    <col min="201" max="201" width="1.81640625" hidden="1" customWidth="1"/>
    <col min="202" max="202" width="9.1796875" hidden="1" customWidth="1"/>
    <col min="203" max="203" width="1.81640625" hidden="1" customWidth="1"/>
    <col min="204" max="204" width="9.1796875" hidden="1" customWidth="1"/>
    <col min="205" max="206" width="1.81640625" hidden="1" customWidth="1"/>
    <col min="207" max="207" width="2.1796875" hidden="1" customWidth="1"/>
    <col min="208" max="208" width="8.54296875" hidden="1" customWidth="1"/>
    <col min="209" max="209" width="9.1796875" hidden="1" customWidth="1"/>
    <col min="210" max="211" width="10.81640625" hidden="1" customWidth="1"/>
    <col min="212" max="212" width="9.1796875" hidden="1" customWidth="1"/>
    <col min="213" max="213" width="1.81640625" hidden="1" customWidth="1"/>
    <col min="214" max="214" width="17.1796875" hidden="1" customWidth="1"/>
    <col min="215" max="215" width="11.81640625" style="184" hidden="1" customWidth="1"/>
    <col min="216" max="216" width="12.81640625" style="184" hidden="1" customWidth="1"/>
    <col min="217" max="217" width="1.81640625" style="184" hidden="1" customWidth="1"/>
    <col min="218" max="218" width="8.81640625" style="184" hidden="1" customWidth="1"/>
    <col min="219" max="219" width="2.1796875" style="184" hidden="1" customWidth="1"/>
    <col min="220" max="220" width="1.54296875" style="184" hidden="1" customWidth="1"/>
    <col min="221" max="221" width="10.81640625" style="184" hidden="1" customWidth="1"/>
    <col min="222" max="222" width="8.54296875" style="184" hidden="1" customWidth="1"/>
    <col min="223" max="223" width="2" style="184" hidden="1" customWidth="1"/>
    <col min="224" max="224" width="1.81640625" style="184" hidden="1" customWidth="1"/>
    <col min="225" max="225" width="1.54296875" style="184" hidden="1" customWidth="1"/>
    <col min="226" max="226" width="1.26953125" style="184" hidden="1" customWidth="1"/>
    <col min="227" max="227" width="8.81640625" style="184" hidden="1" customWidth="1"/>
    <col min="228" max="228" width="1.453125" style="184" hidden="1" customWidth="1"/>
    <col min="229" max="229" width="10.1796875" style="184" hidden="1" customWidth="1"/>
    <col min="230" max="231" width="1.81640625" style="184" hidden="1" customWidth="1"/>
    <col min="232" max="232" width="8.1796875" style="184" hidden="1" customWidth="1"/>
    <col min="233" max="234" width="1.81640625" style="184" hidden="1" customWidth="1"/>
    <col min="235" max="235" width="1" style="184" hidden="1" customWidth="1"/>
    <col min="236" max="236" width="8.1796875" style="184" hidden="1" customWidth="1"/>
    <col min="237" max="237" width="1.1796875" style="184" hidden="1" customWidth="1"/>
    <col min="238" max="242" width="1.81640625" style="184" hidden="1" customWidth="1"/>
    <col min="243" max="243" width="8.453125" style="184" hidden="1" customWidth="1"/>
    <col min="244" max="244" width="2" style="184" hidden="1" customWidth="1"/>
    <col min="245" max="245" width="9.26953125" style="184" hidden="1" customWidth="1"/>
    <col min="246" max="247" width="8.1796875" style="184" hidden="1" customWidth="1"/>
    <col min="248" max="250" width="8.54296875" style="184" hidden="1" customWidth="1"/>
    <col min="251" max="251" width="1.81640625" style="184" hidden="1" customWidth="1"/>
    <col min="252" max="252" width="10" style="184" hidden="1" customWidth="1"/>
    <col min="253" max="253" width="9.81640625" style="184" hidden="1" customWidth="1"/>
    <col min="254" max="255" width="1.81640625" style="184" hidden="1" customWidth="1"/>
    <col min="256" max="256" width="8.1796875" style="184" hidden="1" customWidth="1"/>
    <col min="257" max="257" width="2.453125" style="184" hidden="1" customWidth="1"/>
    <col min="258" max="259" width="1.81640625" style="184" hidden="1" customWidth="1"/>
    <col min="260" max="260" width="2.54296875" style="184" hidden="1" customWidth="1"/>
    <col min="261" max="261" width="1.54296875" style="184" hidden="1" customWidth="1"/>
    <col min="262" max="262" width="2.1796875" style="184" hidden="1" customWidth="1"/>
    <col min="263" max="263" width="1.81640625" style="184" hidden="1" customWidth="1"/>
    <col min="264" max="264" width="1.54296875" style="184" hidden="1" customWidth="1"/>
    <col min="265" max="265" width="1.453125" style="184" hidden="1" customWidth="1"/>
    <col min="266" max="267" width="1.81640625" style="184" hidden="1" customWidth="1"/>
    <col min="268" max="268" width="8.54296875" style="184" hidden="1" customWidth="1"/>
    <col min="269" max="270" width="1.54296875" style="184" hidden="1" customWidth="1"/>
    <col min="271" max="271" width="2.1796875" style="184" hidden="1" customWidth="1"/>
    <col min="272" max="272" width="2" style="184" hidden="1" customWidth="1"/>
    <col min="273" max="274" width="1.54296875" style="184" hidden="1" customWidth="1"/>
    <col min="275" max="277" width="1.81640625" style="184" hidden="1" customWidth="1"/>
    <col min="278" max="278" width="1.54296875" style="184" hidden="1" customWidth="1"/>
    <col min="279" max="279" width="8.54296875" style="184" hidden="1" customWidth="1"/>
    <col min="280" max="281" width="1.81640625" style="184" hidden="1" customWidth="1"/>
    <col min="282" max="282" width="2.453125" style="184" hidden="1" customWidth="1"/>
    <col min="283" max="283" width="10.1796875" style="184" hidden="1" customWidth="1"/>
    <col min="284" max="284" width="8.54296875" style="184" hidden="1" customWidth="1"/>
    <col min="285" max="285" width="10.81640625" style="184" hidden="1" customWidth="1"/>
    <col min="286" max="286" width="1.453125" style="184" hidden="1" customWidth="1"/>
    <col min="287" max="287" width="1.81640625" style="184" hidden="1" customWidth="1"/>
    <col min="288" max="288" width="9.1796875" style="184" hidden="1" customWidth="1"/>
    <col min="289" max="289" width="1.7265625" style="184" hidden="1" customWidth="1"/>
    <col min="290" max="292" width="1.81640625" style="184" hidden="1" customWidth="1"/>
    <col min="293" max="293" width="2" style="184" hidden="1" customWidth="1"/>
    <col min="294" max="294" width="1.81640625" style="184" hidden="1" customWidth="1"/>
    <col min="295" max="295" width="9.54296875" style="184" hidden="1" customWidth="1"/>
    <col min="296" max="297" width="1.81640625" style="184" hidden="1" customWidth="1"/>
    <col min="298" max="298" width="11.81640625" style="184" hidden="1" customWidth="1"/>
    <col min="299" max="299" width="1.81640625" style="184" hidden="1" customWidth="1"/>
    <col min="300" max="300" width="8.81640625" style="184" hidden="1" customWidth="1"/>
    <col min="301" max="301" width="1.81640625" style="184" hidden="1" customWidth="1"/>
    <col min="302" max="303" width="8.54296875" style="184" hidden="1" customWidth="1"/>
    <col min="304" max="304" width="2.1796875" style="184" hidden="1" customWidth="1"/>
    <col min="305" max="305" width="1.1796875" style="184" hidden="1" customWidth="1"/>
    <col min="306" max="306" width="1.453125" style="184" hidden="1" customWidth="1"/>
    <col min="307" max="307" width="1.54296875" style="184" hidden="1" customWidth="1"/>
    <col min="308" max="308" width="2" hidden="1" customWidth="1"/>
    <col min="309" max="309" width="3.1796875" hidden="1" customWidth="1"/>
    <col min="310" max="310" width="8.1796875" hidden="1" customWidth="1"/>
    <col min="311" max="312" width="9.54296875" hidden="1" customWidth="1"/>
    <col min="313" max="313" width="13" hidden="1" customWidth="1"/>
    <col min="314" max="314" width="1.81640625" hidden="1" customWidth="1"/>
    <col min="315" max="315" width="13.54296875" hidden="1" customWidth="1"/>
    <col min="316" max="319" width="10.1796875" hidden="1" customWidth="1"/>
    <col min="320" max="320" width="1.81640625" hidden="1" customWidth="1"/>
    <col min="321" max="321" width="8.54296875" hidden="1" customWidth="1"/>
    <col min="322" max="322" width="2.1796875" hidden="1" customWidth="1"/>
    <col min="323" max="323" width="1.81640625" hidden="1" customWidth="1"/>
    <col min="324" max="324" width="9.54296875" hidden="1" customWidth="1"/>
    <col min="325" max="325" width="10.453125" hidden="1" customWidth="1"/>
    <col min="326" max="326" width="1.453125" hidden="1" customWidth="1"/>
    <col min="327" max="328" width="1.81640625" hidden="1" customWidth="1"/>
    <col min="329" max="329" width="1.453125" hidden="1" customWidth="1"/>
    <col min="330" max="330" width="9.1796875" hidden="1" customWidth="1"/>
    <col min="331" max="331" width="1.81640625" hidden="1" customWidth="1"/>
    <col min="332" max="332" width="8.453125" hidden="1" customWidth="1"/>
    <col min="333" max="333" width="1.54296875" hidden="1" customWidth="1"/>
    <col min="334" max="336" width="1.81640625" hidden="1" customWidth="1"/>
    <col min="337" max="338" width="8.54296875" hidden="1" customWidth="1"/>
    <col min="339" max="340" width="1.81640625" hidden="1" customWidth="1"/>
    <col min="341" max="341" width="1.54296875" hidden="1" customWidth="1"/>
    <col min="342" max="343" width="8.54296875" hidden="1" customWidth="1"/>
    <col min="344" max="344" width="1.54296875" hidden="1" customWidth="1"/>
    <col min="345" max="345" width="2.26953125" hidden="1" customWidth="1"/>
    <col min="346" max="346" width="1.81640625" hidden="1" customWidth="1"/>
    <col min="347" max="347" width="8.54296875" hidden="1" customWidth="1"/>
    <col min="348" max="349" width="1.81640625" hidden="1" customWidth="1"/>
    <col min="350" max="350" width="2" hidden="1" customWidth="1"/>
    <col min="351" max="351" width="8.54296875" hidden="1" customWidth="1"/>
    <col min="352" max="352" width="10.81640625" hidden="1" customWidth="1"/>
    <col min="353" max="353" width="1.453125" hidden="1" customWidth="1"/>
    <col min="354" max="354" width="1.54296875" hidden="1" customWidth="1"/>
    <col min="355" max="355" width="8.1796875" hidden="1" customWidth="1"/>
    <col min="356" max="357" width="1.81640625" hidden="1" customWidth="1"/>
    <col min="358" max="360" width="8.54296875" hidden="1" customWidth="1"/>
    <col min="361" max="361" width="1.81640625" hidden="1" customWidth="1"/>
    <col min="362" max="362" width="8.54296875" hidden="1" customWidth="1"/>
    <col min="363" max="364" width="1.81640625" hidden="1" customWidth="1"/>
    <col min="365" max="365" width="9.453125" hidden="1" customWidth="1"/>
    <col min="366" max="366" width="1.81640625" hidden="1" customWidth="1"/>
    <col min="367" max="371" width="8.54296875" hidden="1" customWidth="1"/>
    <col min="372" max="372" width="9.26953125" hidden="1" customWidth="1"/>
    <col min="373" max="374" width="1.81640625" hidden="1" customWidth="1"/>
    <col min="375" max="375" width="1.453125" hidden="1" customWidth="1"/>
    <col min="376" max="376" width="1.81640625" hidden="1" customWidth="1"/>
    <col min="377" max="382" width="8.54296875" hidden="1" customWidth="1"/>
    <col min="383" max="383" width="10.453125" hidden="1" customWidth="1"/>
    <col min="384" max="384" width="1.81640625" hidden="1" customWidth="1"/>
    <col min="385" max="385" width="16" hidden="1" customWidth="1"/>
    <col min="386" max="386" width="8.1796875" hidden="1" customWidth="1"/>
    <col min="387" max="388" width="1.81640625" hidden="1" customWidth="1"/>
    <col min="389" max="389" width="2.1796875" hidden="1" customWidth="1"/>
    <col min="390" max="390" width="1.81640625" hidden="1" customWidth="1"/>
    <col min="391" max="391" width="8.54296875" hidden="1" customWidth="1"/>
    <col min="392" max="392" width="10.54296875" hidden="1" customWidth="1"/>
    <col min="393" max="394" width="1.81640625" hidden="1" customWidth="1"/>
    <col min="395" max="395" width="12.54296875" hidden="1" customWidth="1"/>
    <col min="396" max="396" width="9.1796875" hidden="1" customWidth="1"/>
    <col min="397" max="397" width="2" hidden="1" customWidth="1"/>
    <col min="398" max="398" width="12.1796875" hidden="1" customWidth="1"/>
    <col min="399" max="399" width="8.54296875" hidden="1" customWidth="1"/>
    <col min="400" max="404" width="1.81640625" hidden="1" customWidth="1"/>
    <col min="405" max="405" width="2.453125" hidden="1" customWidth="1"/>
    <col min="406" max="406" width="1.453125" hidden="1" customWidth="1"/>
    <col min="407" max="407" width="8.81640625" hidden="1" customWidth="1"/>
    <col min="408" max="409" width="8.54296875" hidden="1" customWidth="1"/>
    <col min="410" max="410" width="1.1796875" hidden="1" customWidth="1"/>
    <col min="411" max="412" width="14.453125" hidden="1" customWidth="1"/>
    <col min="413" max="413" width="11.453125" hidden="1" customWidth="1"/>
    <col min="414" max="415" width="10.1796875" hidden="1" customWidth="1"/>
    <col min="416" max="416" width="13" hidden="1" customWidth="1"/>
    <col min="417" max="417" width="12.81640625" hidden="1" customWidth="1"/>
    <col min="418" max="418" width="12" hidden="1" customWidth="1"/>
    <col min="419" max="420" width="9.81640625" hidden="1" customWidth="1"/>
    <col min="421" max="421" width="12.81640625" hidden="1" customWidth="1"/>
    <col min="422" max="424" width="9.81640625" hidden="1" customWidth="1"/>
    <col min="425" max="425" width="14.54296875" hidden="1" customWidth="1"/>
    <col min="426" max="427" width="14.1796875" hidden="1" customWidth="1"/>
    <col min="428" max="428" width="12.1796875" hidden="1" customWidth="1"/>
    <col min="429" max="430" width="11" hidden="1" customWidth="1"/>
    <col min="431" max="432" width="11.81640625" hidden="1" customWidth="1"/>
    <col min="433" max="433" width="35" hidden="1" customWidth="1"/>
    <col min="434" max="434" width="10.54296875" style="310" hidden="1" customWidth="1"/>
  </cols>
  <sheetData>
    <row r="1" spans="1:434" s="1" customFormat="1" x14ac:dyDescent="0.45">
      <c r="A1" s="193"/>
      <c r="B1" s="48" t="s">
        <v>0</v>
      </c>
      <c r="C1"/>
      <c r="D1"/>
      <c r="E1"/>
      <c r="F1"/>
      <c r="G1"/>
      <c r="H1"/>
      <c r="I1"/>
      <c r="J1"/>
      <c r="K1"/>
      <c r="L1"/>
      <c r="M1"/>
      <c r="N1"/>
      <c r="O1"/>
      <c r="P1"/>
      <c r="Q1"/>
      <c r="R1"/>
      <c r="S1"/>
      <c r="T1"/>
      <c r="U1"/>
      <c r="V1" s="10"/>
      <c r="W1" s="10"/>
      <c r="X1" s="4"/>
      <c r="Y1" s="18"/>
      <c r="Z1" s="4"/>
      <c r="AA1" s="77"/>
      <c r="AB1" s="45"/>
      <c r="AC1" s="2"/>
      <c r="AD1" s="48" t="s">
        <v>0</v>
      </c>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s="4"/>
      <c r="CD1" s="4"/>
      <c r="CE1" s="4"/>
      <c r="CF1" s="4"/>
      <c r="CG1" s="4"/>
      <c r="CH1" s="4"/>
      <c r="CI1" s="4"/>
      <c r="CJ1" s="10"/>
      <c r="CK1" s="4"/>
      <c r="CL1" s="10"/>
      <c r="CM1" s="10"/>
      <c r="CN1" s="4"/>
      <c r="CO1" s="4"/>
      <c r="CP1" s="4"/>
      <c r="CQ1" s="4"/>
      <c r="CR1" s="10"/>
      <c r="CS1" s="10"/>
      <c r="CT1" s="10"/>
      <c r="CU1" s="10"/>
      <c r="CV1" s="10"/>
      <c r="CW1" s="4"/>
      <c r="CX1" s="4"/>
      <c r="CY1" s="4"/>
      <c r="CZ1" s="46"/>
      <c r="DA1" s="2"/>
      <c r="DB1"/>
      <c r="DC1"/>
      <c r="DD1" s="48" t="s">
        <v>0</v>
      </c>
      <c r="DE1"/>
      <c r="DF1"/>
      <c r="DG1"/>
      <c r="DH1"/>
      <c r="DI1"/>
      <c r="DJ1"/>
      <c r="DK1"/>
      <c r="DL1"/>
      <c r="DM1"/>
      <c r="DN1"/>
      <c r="DO1"/>
      <c r="DP1"/>
      <c r="DQ1"/>
      <c r="DR1"/>
      <c r="DS1"/>
      <c r="DT1"/>
      <c r="DU1"/>
      <c r="DV1" s="4"/>
      <c r="DW1" s="46"/>
      <c r="DX1" s="2"/>
      <c r="DY1" s="48" t="s">
        <v>0</v>
      </c>
      <c r="DZ1" s="32"/>
      <c r="EA1" s="32"/>
      <c r="EB1" s="32"/>
      <c r="EC1" s="32"/>
      <c r="ED1" s="32"/>
      <c r="EE1" s="32"/>
      <c r="EF1" s="32"/>
      <c r="EG1" s="4"/>
      <c r="EH1" s="4"/>
      <c r="EI1" s="4"/>
      <c r="EJ1" s="45"/>
      <c r="EK1" s="5"/>
      <c r="EO1" s="2"/>
      <c r="EQ1" s="468" t="s">
        <v>1</v>
      </c>
      <c r="ER1"/>
      <c r="ES1" s="48" t="s">
        <v>0</v>
      </c>
      <c r="ET1" s="10"/>
      <c r="EU1" s="10"/>
      <c r="EV1" s="10"/>
      <c r="EW1" s="10"/>
      <c r="EX1"/>
      <c r="EY1"/>
      <c r="EZ1"/>
      <c r="FA1"/>
      <c r="FB1"/>
      <c r="FC1"/>
      <c r="FD1"/>
      <c r="FE1"/>
      <c r="FF1"/>
      <c r="FG1"/>
      <c r="FH1"/>
      <c r="FI1"/>
      <c r="FJ1"/>
      <c r="FK1"/>
      <c r="FL1"/>
      <c r="FM1"/>
      <c r="FN1"/>
      <c r="FO1"/>
      <c r="FP1"/>
      <c r="FQ1"/>
      <c r="FS1"/>
      <c r="FT1"/>
      <c r="FY1" s="44"/>
      <c r="FZ1" s="175"/>
      <c r="GA1" s="172"/>
      <c r="GB1" s="175"/>
      <c r="GC1" s="172"/>
      <c r="GD1" s="33"/>
      <c r="GE1" s="33"/>
      <c r="GJ1" s="33"/>
      <c r="GM1" s="4"/>
      <c r="GN1" s="10"/>
      <c r="GO1" s="10"/>
      <c r="GP1" s="4"/>
      <c r="GQ1" s="10"/>
      <c r="GS1" s="10"/>
      <c r="GT1" s="4"/>
      <c r="GU1" s="10"/>
      <c r="GV1" s="4"/>
      <c r="GW1" s="10"/>
      <c r="GX1" s="10"/>
      <c r="GY1" s="10"/>
      <c r="GZ1" s="10"/>
      <c r="HA1" s="18"/>
      <c r="HB1" s="4"/>
      <c r="HC1" s="4"/>
      <c r="HD1" s="45"/>
      <c r="HE1" s="2"/>
      <c r="HF1" s="48" t="s">
        <v>0</v>
      </c>
      <c r="HG1" s="184"/>
      <c r="HH1" s="184"/>
      <c r="HI1" s="184"/>
      <c r="HJ1" s="184"/>
      <c r="HK1" s="184"/>
      <c r="HL1" s="184"/>
      <c r="HM1" s="184"/>
      <c r="HN1" s="184"/>
      <c r="HO1" s="184"/>
      <c r="HP1" s="184"/>
      <c r="HQ1" s="44"/>
      <c r="HR1" s="44"/>
      <c r="HS1" s="44"/>
      <c r="HZ1" s="4"/>
      <c r="IC1" s="4"/>
      <c r="ID1" s="4"/>
      <c r="IE1" s="4"/>
      <c r="IF1" s="4"/>
      <c r="IG1" s="4"/>
      <c r="IH1" s="4"/>
      <c r="II1" s="4"/>
      <c r="IJ1" s="4"/>
      <c r="IK1" s="4"/>
      <c r="IL1" s="4"/>
      <c r="IR1" s="4"/>
      <c r="IS1" s="4"/>
      <c r="IT1" s="10"/>
      <c r="IU1" s="4"/>
      <c r="IV1" s="4"/>
      <c r="IW1" s="33"/>
      <c r="IX1" s="10"/>
      <c r="IZ1" s="33"/>
      <c r="JA1" s="33"/>
      <c r="JB1" s="33"/>
      <c r="JI1" s="33"/>
      <c r="JJ1" s="33"/>
      <c r="JL1" s="4"/>
      <c r="JM1" s="4"/>
      <c r="JN1" s="10"/>
      <c r="JO1" s="10"/>
      <c r="JP1" s="4"/>
      <c r="JQ1" s="4"/>
      <c r="JR1" s="48" t="s">
        <v>0</v>
      </c>
      <c r="JS1" s="4"/>
      <c r="JT1" s="4"/>
      <c r="JU1" s="10"/>
      <c r="JV1" s="4"/>
      <c r="JW1" s="4"/>
      <c r="JX1" s="4"/>
      <c r="JY1" s="4"/>
      <c r="JZ1" s="4"/>
      <c r="KA1" s="4"/>
      <c r="KB1" s="4"/>
      <c r="KC1" s="4"/>
      <c r="KD1" s="10"/>
      <c r="KE1" s="10"/>
      <c r="KF1" s="10"/>
      <c r="KG1" s="4"/>
      <c r="KH1" s="10"/>
      <c r="KI1" s="10"/>
      <c r="KJ1" s="10"/>
      <c r="KK1" s="10"/>
      <c r="KL1" s="4"/>
      <c r="KM1" s="10"/>
      <c r="KN1" s="4"/>
      <c r="KO1" s="4"/>
      <c r="KP1" s="4"/>
      <c r="KQ1" s="4"/>
      <c r="KR1" s="10"/>
      <c r="KS1" s="4"/>
      <c r="KT1" s="4"/>
      <c r="KU1" s="4"/>
      <c r="KV1" s="4"/>
      <c r="KW1" s="4"/>
      <c r="KX1" s="18"/>
      <c r="KY1" s="4"/>
      <c r="KZ1" s="4"/>
      <c r="LA1" s="45"/>
      <c r="LB1" s="2"/>
      <c r="LC1" s="48" t="s">
        <v>0</v>
      </c>
      <c r="LD1"/>
      <c r="LE1"/>
      <c r="LF1"/>
      <c r="LG1"/>
      <c r="LH1"/>
      <c r="LI1"/>
      <c r="LJ1"/>
      <c r="LK1"/>
      <c r="LL1"/>
      <c r="LM1" s="44"/>
      <c r="LN1" s="44"/>
      <c r="MO1" s="172"/>
      <c r="NC1" s="33"/>
      <c r="ND1" s="33"/>
      <c r="NE1" s="33"/>
      <c r="NF1" s="33"/>
      <c r="NG1" s="33"/>
      <c r="NP1" s="60"/>
      <c r="NT1" s="2"/>
      <c r="NU1" s="48" t="s">
        <v>0</v>
      </c>
      <c r="NV1"/>
      <c r="NW1"/>
      <c r="NX1"/>
      <c r="NY1"/>
      <c r="NZ1"/>
      <c r="OA1"/>
      <c r="OB1"/>
      <c r="OC1" s="4"/>
      <c r="OD1" s="4"/>
      <c r="OE1" s="4"/>
      <c r="OF1" s="45"/>
      <c r="OG1" s="2"/>
      <c r="OH1" s="48" t="s">
        <v>0</v>
      </c>
      <c r="OJ1" s="40"/>
      <c r="OK1" s="40"/>
      <c r="OL1" s="40"/>
      <c r="OM1" s="40"/>
      <c r="ON1" s="40"/>
      <c r="OO1" s="40"/>
      <c r="OQ1" s="40"/>
      <c r="OT1" s="2"/>
      <c r="OU1" s="85"/>
      <c r="OV1" s="67"/>
      <c r="OW1" s="86"/>
      <c r="OX1" s="86"/>
      <c r="OY1" s="87"/>
      <c r="OZ1" s="85"/>
      <c r="PA1" s="67"/>
      <c r="PB1" s="86"/>
      <c r="PC1" s="86"/>
      <c r="PD1" s="87"/>
      <c r="PE1" s="86"/>
      <c r="PF1" s="87"/>
      <c r="PG1" s="86"/>
      <c r="PH1" s="87"/>
      <c r="PI1" s="56"/>
      <c r="PJ1" s="56"/>
      <c r="PK1" s="88"/>
      <c r="PL1" s="46"/>
      <c r="PM1" s="46"/>
      <c r="PN1" s="89"/>
      <c r="PO1" s="86"/>
      <c r="PP1" s="87"/>
      <c r="PQ1" s="41"/>
      <c r="PR1" s="302"/>
    </row>
    <row r="2" spans="1:434" s="55" customFormat="1" x14ac:dyDescent="0.45">
      <c r="A2" s="193"/>
      <c r="B2" s="206" t="s">
        <v>2</v>
      </c>
      <c r="C2"/>
      <c r="D2"/>
      <c r="E2"/>
      <c r="F2"/>
      <c r="G2"/>
      <c r="H2"/>
      <c r="I2"/>
      <c r="J2"/>
      <c r="K2"/>
      <c r="L2"/>
      <c r="M2"/>
      <c r="N2"/>
      <c r="O2"/>
      <c r="P2"/>
      <c r="Q2"/>
      <c r="R2"/>
      <c r="S2"/>
      <c r="T2"/>
      <c r="U2"/>
      <c r="V2" s="50"/>
      <c r="W2" s="50"/>
      <c r="X2" s="50"/>
      <c r="Y2" s="51"/>
      <c r="Z2" s="50"/>
      <c r="AA2" s="78"/>
      <c r="AB2" s="47"/>
      <c r="AC2" s="52"/>
      <c r="AD2" s="206" t="s">
        <v>2</v>
      </c>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s="50"/>
      <c r="CD2" s="50"/>
      <c r="CE2" s="50"/>
      <c r="CF2" s="50"/>
      <c r="CG2" s="50"/>
      <c r="CH2" s="50"/>
      <c r="CI2" s="50"/>
      <c r="CJ2" s="50"/>
      <c r="CK2" s="50"/>
      <c r="CL2" s="50"/>
      <c r="CM2" s="50"/>
      <c r="CN2" s="50"/>
      <c r="CO2" s="50"/>
      <c r="CP2" s="50"/>
      <c r="CQ2" s="50"/>
      <c r="CR2" s="50"/>
      <c r="CS2" s="50"/>
      <c r="CT2" s="50"/>
      <c r="CU2" s="50"/>
      <c r="CV2" s="50"/>
      <c r="CW2" s="50"/>
      <c r="CX2" s="50"/>
      <c r="CY2" s="50"/>
      <c r="CZ2" s="56"/>
      <c r="DA2" s="52"/>
      <c r="DB2"/>
      <c r="DC2"/>
      <c r="DD2" s="206" t="s">
        <v>2</v>
      </c>
      <c r="DE2"/>
      <c r="DF2"/>
      <c r="DG2"/>
      <c r="DH2"/>
      <c r="DI2"/>
      <c r="DJ2"/>
      <c r="DK2"/>
      <c r="DL2"/>
      <c r="DM2"/>
      <c r="DN2"/>
      <c r="DO2"/>
      <c r="DP2"/>
      <c r="DQ2"/>
      <c r="DR2"/>
      <c r="DS2"/>
      <c r="DT2"/>
      <c r="DU2"/>
      <c r="DV2" s="50"/>
      <c r="DW2" s="56"/>
      <c r="DX2" s="52"/>
      <c r="DY2" s="206" t="s">
        <v>2</v>
      </c>
      <c r="DZ2" s="32"/>
      <c r="EA2" s="32"/>
      <c r="EB2" s="32"/>
      <c r="EC2" s="32"/>
      <c r="ED2" s="32"/>
      <c r="EE2" s="32"/>
      <c r="EF2" s="32"/>
      <c r="EG2" s="50"/>
      <c r="EH2" s="50"/>
      <c r="EI2" s="50"/>
      <c r="EJ2" s="47"/>
      <c r="EK2" s="416"/>
      <c r="EO2" s="52"/>
      <c r="EQ2" s="468" t="s">
        <v>1</v>
      </c>
      <c r="ER2"/>
      <c r="ES2" s="206" t="s">
        <v>2</v>
      </c>
      <c r="EU2" s="50"/>
      <c r="EW2" s="50"/>
      <c r="EX2"/>
      <c r="EY2"/>
      <c r="EZ2"/>
      <c r="FA2"/>
      <c r="FB2"/>
      <c r="FC2"/>
      <c r="FD2"/>
      <c r="FE2"/>
      <c r="FF2"/>
      <c r="FG2"/>
      <c r="FH2"/>
      <c r="FI2"/>
      <c r="FJ2"/>
      <c r="FK2"/>
      <c r="FL2"/>
      <c r="FM2"/>
      <c r="FN2"/>
      <c r="FO2"/>
      <c r="FP2"/>
      <c r="FQ2"/>
      <c r="FR2" s="1"/>
      <c r="FS2"/>
      <c r="FT2"/>
      <c r="FY2" s="50"/>
      <c r="FZ2" s="10"/>
      <c r="GA2" s="172"/>
      <c r="GB2" s="10"/>
      <c r="GC2" s="172"/>
      <c r="GD2" s="64"/>
      <c r="GE2" s="66"/>
      <c r="GJ2" s="66"/>
      <c r="GM2" s="4"/>
      <c r="GN2" s="10"/>
      <c r="GO2" s="10"/>
      <c r="GP2" s="4"/>
      <c r="GQ2" s="10"/>
      <c r="GR2" s="65"/>
      <c r="GS2" s="10"/>
      <c r="GT2" s="4"/>
      <c r="GU2" s="10"/>
      <c r="GV2" s="50"/>
      <c r="GW2" s="10"/>
      <c r="GX2" s="10"/>
      <c r="GY2" s="10"/>
      <c r="GZ2" s="50"/>
      <c r="HA2" s="51"/>
      <c r="HB2" s="50"/>
      <c r="HC2" s="50"/>
      <c r="HD2" s="47"/>
      <c r="HE2" s="52"/>
      <c r="HF2" s="206" t="s">
        <v>2</v>
      </c>
      <c r="HG2" s="184"/>
      <c r="HH2" s="184"/>
      <c r="HI2" s="184"/>
      <c r="HJ2" s="184"/>
      <c r="HK2" s="184"/>
      <c r="HL2" s="184"/>
      <c r="HM2" s="184"/>
      <c r="HN2" s="184"/>
      <c r="HO2" s="184"/>
      <c r="HP2" s="184"/>
      <c r="HQ2" s="50"/>
      <c r="HR2" s="50"/>
      <c r="HS2" s="50"/>
      <c r="HV2" s="1"/>
      <c r="HW2" s="1"/>
      <c r="HX2" s="1"/>
      <c r="HY2" s="1"/>
      <c r="HZ2" s="50"/>
      <c r="IC2" s="50"/>
      <c r="ID2" s="50"/>
      <c r="IE2" s="50"/>
      <c r="IF2" s="50"/>
      <c r="IG2" s="4"/>
      <c r="IH2" s="50"/>
      <c r="II2" s="50"/>
      <c r="IJ2" s="50"/>
      <c r="IK2" s="50"/>
      <c r="IL2" s="4"/>
      <c r="IR2" s="4"/>
      <c r="IS2" s="50"/>
      <c r="IT2" s="50"/>
      <c r="IU2" s="50"/>
      <c r="IV2" s="50"/>
      <c r="IW2" s="1"/>
      <c r="IX2" s="50"/>
      <c r="IZ2" s="1"/>
      <c r="JA2" s="1"/>
      <c r="JB2" s="1"/>
      <c r="JI2" s="1"/>
      <c r="JJ2" s="1"/>
      <c r="JK2" s="1"/>
      <c r="JL2" s="50"/>
      <c r="JM2" s="50"/>
      <c r="JN2" s="10"/>
      <c r="JO2" s="50"/>
      <c r="JP2" s="50"/>
      <c r="JQ2" s="50"/>
      <c r="JR2" s="206" t="s">
        <v>2</v>
      </c>
      <c r="JS2" s="50"/>
      <c r="JT2" s="50"/>
      <c r="JU2" s="50"/>
      <c r="JV2" s="4"/>
      <c r="JW2" s="4"/>
      <c r="JX2" s="50"/>
      <c r="JY2" s="50"/>
      <c r="JZ2" s="50"/>
      <c r="KA2" s="50"/>
      <c r="KB2" s="50"/>
      <c r="KC2" s="50"/>
      <c r="KD2" s="50"/>
      <c r="KE2" s="50"/>
      <c r="KF2" s="50"/>
      <c r="KG2" s="4"/>
      <c r="KH2" s="50"/>
      <c r="KI2" s="50"/>
      <c r="KJ2" s="50"/>
      <c r="KK2" s="50"/>
      <c r="KL2" s="50"/>
      <c r="KM2" s="50"/>
      <c r="KN2" s="4"/>
      <c r="KO2" s="50"/>
      <c r="KP2" s="50"/>
      <c r="KQ2" s="50"/>
      <c r="KR2" s="50"/>
      <c r="KS2" s="50"/>
      <c r="KT2" s="50"/>
      <c r="KU2" s="50"/>
      <c r="KV2" s="50"/>
      <c r="KW2" s="50"/>
      <c r="KX2" s="51"/>
      <c r="KY2" s="50"/>
      <c r="KZ2" s="50"/>
      <c r="LA2" s="47"/>
      <c r="LB2" s="52"/>
      <c r="LC2" s="206" t="s">
        <v>2</v>
      </c>
      <c r="LD2"/>
      <c r="LE2"/>
      <c r="LF2"/>
      <c r="LG2"/>
      <c r="LH2"/>
      <c r="LI2"/>
      <c r="LJ2"/>
      <c r="LK2"/>
      <c r="LL2"/>
      <c r="LM2" s="54"/>
      <c r="LN2" s="54"/>
      <c r="MO2" s="172"/>
      <c r="NC2" s="64"/>
      <c r="ND2" s="64"/>
      <c r="NE2" s="64"/>
      <c r="NF2" s="66"/>
      <c r="NG2" s="66"/>
      <c r="NH2" s="65"/>
      <c r="NP2" s="61"/>
      <c r="NT2" s="52"/>
      <c r="NU2" s="206" t="s">
        <v>2</v>
      </c>
      <c r="NV2"/>
      <c r="NW2"/>
      <c r="NX2"/>
      <c r="NY2"/>
      <c r="NZ2"/>
      <c r="OA2"/>
      <c r="OB2"/>
      <c r="OC2" s="50"/>
      <c r="OD2" s="50"/>
      <c r="OE2" s="50"/>
      <c r="OF2" s="47"/>
      <c r="OG2" s="52"/>
      <c r="OH2" s="206" t="s">
        <v>2</v>
      </c>
      <c r="OJ2" s="57"/>
      <c r="OK2" s="57"/>
      <c r="OL2" s="57"/>
      <c r="OM2" s="57"/>
      <c r="ON2" s="57"/>
      <c r="OO2" s="57"/>
      <c r="OQ2" s="57"/>
      <c r="OT2" s="52"/>
      <c r="OU2" s="85"/>
      <c r="OV2" s="67"/>
      <c r="OW2" s="85"/>
      <c r="OX2" s="85"/>
      <c r="OY2" s="67"/>
      <c r="OZ2" s="85"/>
      <c r="PA2" s="67"/>
      <c r="PB2" s="85"/>
      <c r="PC2" s="85"/>
      <c r="PD2" s="67"/>
      <c r="PE2" s="85"/>
      <c r="PF2" s="67"/>
      <c r="PG2" s="85"/>
      <c r="PH2" s="67"/>
      <c r="PI2" s="56"/>
      <c r="PJ2" s="56"/>
      <c r="PK2" s="88"/>
      <c r="PL2" s="56"/>
      <c r="PM2" s="56"/>
      <c r="PN2" s="88"/>
      <c r="PO2" s="85"/>
      <c r="PP2" s="67"/>
      <c r="PQ2" s="58"/>
      <c r="PR2" s="303"/>
    </row>
    <row r="3" spans="1:434" s="55" customFormat="1" x14ac:dyDescent="0.45">
      <c r="A3" s="193"/>
      <c r="B3" s="206" t="s">
        <v>3</v>
      </c>
      <c r="C3"/>
      <c r="D3"/>
      <c r="E3"/>
      <c r="F3"/>
      <c r="G3"/>
      <c r="H3"/>
      <c r="I3"/>
      <c r="J3"/>
      <c r="K3"/>
      <c r="L3"/>
      <c r="M3"/>
      <c r="N3"/>
      <c r="O3"/>
      <c r="P3"/>
      <c r="Q3"/>
      <c r="R3"/>
      <c r="S3"/>
      <c r="T3"/>
      <c r="U3"/>
      <c r="V3" s="50"/>
      <c r="W3" s="50"/>
      <c r="X3" s="50"/>
      <c r="Y3" s="51"/>
      <c r="Z3" s="50"/>
      <c r="AA3" s="78"/>
      <c r="AB3" s="47"/>
      <c r="AC3" s="52"/>
      <c r="AD3" s="206" t="s">
        <v>3</v>
      </c>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s="50"/>
      <c r="CD3" s="50"/>
      <c r="CE3" s="50"/>
      <c r="CF3" s="50"/>
      <c r="CG3" s="50"/>
      <c r="CH3" s="50"/>
      <c r="CI3" s="50"/>
      <c r="CJ3" s="50"/>
      <c r="CK3" s="50"/>
      <c r="CL3" s="50"/>
      <c r="CM3" s="50"/>
      <c r="CN3" s="50"/>
      <c r="CO3" s="50"/>
      <c r="CP3" s="50"/>
      <c r="CQ3" s="50"/>
      <c r="CR3" s="50"/>
      <c r="CS3" s="50"/>
      <c r="CT3" s="50"/>
      <c r="CU3" s="50"/>
      <c r="CV3" s="50"/>
      <c r="CW3" s="50"/>
      <c r="CX3" s="50"/>
      <c r="CY3" s="50"/>
      <c r="CZ3" s="56"/>
      <c r="DA3" s="52"/>
      <c r="DB3"/>
      <c r="DC3"/>
      <c r="DD3" s="206" t="s">
        <v>3</v>
      </c>
      <c r="DE3"/>
      <c r="DF3"/>
      <c r="DG3"/>
      <c r="DH3"/>
      <c r="DI3"/>
      <c r="DJ3"/>
      <c r="DK3"/>
      <c r="DL3"/>
      <c r="DM3"/>
      <c r="DN3"/>
      <c r="DO3"/>
      <c r="DP3"/>
      <c r="DQ3"/>
      <c r="DR3"/>
      <c r="DS3"/>
      <c r="DT3"/>
      <c r="DU3"/>
      <c r="DV3" s="50"/>
      <c r="DW3" s="56"/>
      <c r="DX3" s="52"/>
      <c r="DY3" s="206" t="s">
        <v>3</v>
      </c>
      <c r="DZ3" s="32"/>
      <c r="EA3" s="32"/>
      <c r="EB3" s="32"/>
      <c r="EC3" s="32"/>
      <c r="ED3" s="32"/>
      <c r="EE3" s="32"/>
      <c r="EF3" s="32"/>
      <c r="EG3" s="50"/>
      <c r="EH3" s="50"/>
      <c r="EI3" s="50"/>
      <c r="EJ3" s="47"/>
      <c r="EK3" s="416"/>
      <c r="EO3" s="52"/>
      <c r="EQ3" s="468" t="s">
        <v>1</v>
      </c>
      <c r="ER3"/>
      <c r="ES3" s="206" t="s">
        <v>3</v>
      </c>
      <c r="EU3" s="50"/>
      <c r="EV3" s="50"/>
      <c r="EW3" s="50"/>
      <c r="EX3"/>
      <c r="EY3"/>
      <c r="EZ3"/>
      <c r="FA3"/>
      <c r="FB3"/>
      <c r="FC3"/>
      <c r="FD3"/>
      <c r="FE3"/>
      <c r="FF3"/>
      <c r="FG3"/>
      <c r="FH3"/>
      <c r="FI3"/>
      <c r="FJ3"/>
      <c r="FK3"/>
      <c r="FL3"/>
      <c r="FM3"/>
      <c r="FN3"/>
      <c r="FO3"/>
      <c r="FP3"/>
      <c r="FQ3"/>
      <c r="FR3" s="1"/>
      <c r="FS3"/>
      <c r="FT3"/>
      <c r="FY3" s="50"/>
      <c r="FZ3" s="10"/>
      <c r="GA3" s="172"/>
      <c r="GB3" s="10"/>
      <c r="GC3" s="172"/>
      <c r="GD3" s="50"/>
      <c r="GE3" s="4"/>
      <c r="GF3" s="50"/>
      <c r="GG3" s="50"/>
      <c r="GH3" s="50"/>
      <c r="GI3" s="50"/>
      <c r="GJ3" s="50"/>
      <c r="GK3" s="50"/>
      <c r="GL3" s="50"/>
      <c r="GM3" s="4"/>
      <c r="GN3" s="10"/>
      <c r="GO3" s="10"/>
      <c r="GP3" s="4"/>
      <c r="GQ3" s="10"/>
      <c r="GR3" s="4"/>
      <c r="GS3" s="10"/>
      <c r="GT3" s="4"/>
      <c r="GU3" s="10"/>
      <c r="GV3" s="50"/>
      <c r="GW3" s="10"/>
      <c r="GX3" s="10"/>
      <c r="GY3" s="10"/>
      <c r="GZ3" s="50"/>
      <c r="HA3" s="51"/>
      <c r="HB3" s="50"/>
      <c r="HC3" s="50"/>
      <c r="HD3" s="47"/>
      <c r="HE3" s="52"/>
      <c r="HF3" s="206" t="s">
        <v>3</v>
      </c>
      <c r="HG3" s="184"/>
      <c r="HH3" s="184"/>
      <c r="HI3" s="184"/>
      <c r="HJ3" s="184"/>
      <c r="HK3" s="184"/>
      <c r="HL3" s="184"/>
      <c r="HM3" s="184"/>
      <c r="HN3" s="184"/>
      <c r="HO3" s="184"/>
      <c r="HP3" s="184"/>
      <c r="HQ3" s="50"/>
      <c r="HR3" s="50"/>
      <c r="HS3" s="50"/>
      <c r="HT3" s="50"/>
      <c r="HU3" s="50"/>
      <c r="HV3" s="4"/>
      <c r="HW3" s="4"/>
      <c r="HX3" s="4"/>
      <c r="HY3" s="4"/>
      <c r="HZ3" s="50"/>
      <c r="IC3" s="50"/>
      <c r="ID3" s="50"/>
      <c r="IE3" s="50"/>
      <c r="IF3" s="50"/>
      <c r="IG3" s="4"/>
      <c r="IH3" s="50"/>
      <c r="II3" s="50"/>
      <c r="IJ3" s="50"/>
      <c r="IK3" s="50"/>
      <c r="IL3" s="4"/>
      <c r="IR3" s="4"/>
      <c r="IS3" s="50"/>
      <c r="IT3" s="50"/>
      <c r="IU3" s="50"/>
      <c r="IV3" s="50"/>
      <c r="IW3" s="50"/>
      <c r="IX3" s="50"/>
      <c r="IY3" s="50"/>
      <c r="IZ3" s="50"/>
      <c r="JA3" s="50"/>
      <c r="JB3" s="50"/>
      <c r="JC3" s="50"/>
      <c r="JD3" s="50"/>
      <c r="JE3" s="50"/>
      <c r="JF3" s="50"/>
      <c r="JG3" s="50"/>
      <c r="JH3" s="50"/>
      <c r="JI3" s="50"/>
      <c r="JJ3" s="50"/>
      <c r="JK3" s="50"/>
      <c r="JL3" s="50"/>
      <c r="JM3" s="50"/>
      <c r="JN3" s="10"/>
      <c r="JO3" s="50"/>
      <c r="JP3" s="50"/>
      <c r="JQ3" s="50"/>
      <c r="JR3" s="206" t="s">
        <v>3</v>
      </c>
      <c r="JS3" s="50"/>
      <c r="JT3" s="50"/>
      <c r="JU3" s="50"/>
      <c r="JV3" s="4"/>
      <c r="JW3" s="4"/>
      <c r="JX3" s="50"/>
      <c r="JY3" s="50"/>
      <c r="JZ3" s="50"/>
      <c r="KA3" s="50"/>
      <c r="KB3" s="50"/>
      <c r="KC3" s="50"/>
      <c r="KD3" s="50"/>
      <c r="KE3" s="50"/>
      <c r="KF3" s="50"/>
      <c r="KG3" s="4"/>
      <c r="KH3" s="50"/>
      <c r="KI3" s="50"/>
      <c r="KJ3" s="50"/>
      <c r="KK3" s="50"/>
      <c r="KL3" s="50"/>
      <c r="KM3" s="50"/>
      <c r="KN3" s="4"/>
      <c r="KO3" s="50"/>
      <c r="KP3" s="50"/>
      <c r="KQ3" s="50"/>
      <c r="KR3" s="50"/>
      <c r="KS3" s="50"/>
      <c r="KT3" s="50"/>
      <c r="KU3" s="50"/>
      <c r="KV3" s="50"/>
      <c r="KW3" s="50"/>
      <c r="KX3" s="51"/>
      <c r="KY3" s="50"/>
      <c r="KZ3" s="50"/>
      <c r="LA3" s="47"/>
      <c r="LB3" s="52"/>
      <c r="LC3" s="206" t="s">
        <v>3</v>
      </c>
      <c r="LD3"/>
      <c r="LE3"/>
      <c r="LF3"/>
      <c r="LG3"/>
      <c r="LH3"/>
      <c r="LI3"/>
      <c r="LJ3"/>
      <c r="LK3"/>
      <c r="LL3"/>
      <c r="LM3" s="50"/>
      <c r="LN3" s="50"/>
      <c r="MO3" s="172"/>
      <c r="NP3" s="61"/>
      <c r="NT3" s="52"/>
      <c r="NU3" s="206" t="s">
        <v>3</v>
      </c>
      <c r="NV3"/>
      <c r="NW3"/>
      <c r="NX3"/>
      <c r="NY3"/>
      <c r="NZ3"/>
      <c r="OA3"/>
      <c r="OB3"/>
      <c r="OC3" s="50"/>
      <c r="OD3" s="50"/>
      <c r="OE3" s="50"/>
      <c r="OF3" s="47"/>
      <c r="OG3" s="52"/>
      <c r="OH3" s="206" t="s">
        <v>3</v>
      </c>
      <c r="OJ3" s="57"/>
      <c r="OK3" s="57"/>
      <c r="OL3" s="57"/>
      <c r="OM3" s="57"/>
      <c r="ON3" s="57"/>
      <c r="OO3" s="57"/>
      <c r="OQ3" s="57"/>
      <c r="OT3" s="52"/>
      <c r="OU3" s="85"/>
      <c r="OV3" s="67"/>
      <c r="OW3" s="85"/>
      <c r="OX3" s="85"/>
      <c r="OY3" s="67"/>
      <c r="OZ3" s="85"/>
      <c r="PA3" s="67"/>
      <c r="PB3" s="85"/>
      <c r="PC3" s="85"/>
      <c r="PD3" s="67"/>
      <c r="PE3" s="85"/>
      <c r="PF3" s="67"/>
      <c r="PG3" s="85"/>
      <c r="PH3" s="67"/>
      <c r="PI3" s="56"/>
      <c r="PJ3" s="56"/>
      <c r="PK3" s="88"/>
      <c r="PL3" s="56"/>
      <c r="PM3" s="56"/>
      <c r="PN3" s="88"/>
      <c r="PO3" s="85"/>
      <c r="PP3" s="67"/>
      <c r="PQ3" s="58"/>
      <c r="PR3" s="303"/>
    </row>
    <row r="4" spans="1:434" s="55" customFormat="1" ht="22.5" customHeight="1" x14ac:dyDescent="0.45">
      <c r="A4" s="193"/>
      <c r="B4" s="49" t="s">
        <v>4</v>
      </c>
      <c r="C4"/>
      <c r="D4"/>
      <c r="E4"/>
      <c r="F4"/>
      <c r="G4"/>
      <c r="H4"/>
      <c r="I4"/>
      <c r="J4"/>
      <c r="K4"/>
      <c r="L4" s="471"/>
      <c r="M4"/>
      <c r="N4"/>
      <c r="O4"/>
      <c r="P4"/>
      <c r="Q4"/>
      <c r="R4"/>
      <c r="S4"/>
      <c r="T4"/>
      <c r="U4"/>
      <c r="V4" s="50"/>
      <c r="W4" s="50"/>
      <c r="X4" s="50"/>
      <c r="Y4" s="51"/>
      <c r="Z4" s="50"/>
      <c r="AA4" s="78"/>
      <c r="AB4" s="47"/>
      <c r="AC4" s="52"/>
      <c r="AD4" s="49" t="s">
        <v>4</v>
      </c>
      <c r="AF4" s="53"/>
      <c r="AG4" s="53"/>
      <c r="AH4" s="53"/>
      <c r="AI4" s="53"/>
      <c r="AS4" s="50"/>
      <c r="AT4" s="54"/>
      <c r="AX4" s="50"/>
      <c r="AY4" s="50"/>
      <c r="AZ4" s="50"/>
      <c r="BH4" s="50"/>
      <c r="BI4" s="50"/>
      <c r="BJ4" s="50"/>
      <c r="BK4" s="50"/>
      <c r="BL4" s="50"/>
      <c r="BM4" s="50"/>
      <c r="BN4" s="50"/>
      <c r="BO4" s="50"/>
      <c r="BP4" s="50"/>
      <c r="BQ4" s="50"/>
      <c r="BR4" s="50"/>
      <c r="BS4" s="50"/>
      <c r="BT4" s="50"/>
      <c r="BU4" s="50"/>
      <c r="BV4" s="50"/>
      <c r="BW4" s="50"/>
      <c r="BX4" s="50"/>
      <c r="BY4" s="50"/>
      <c r="BZ4" s="50"/>
      <c r="CA4" s="50"/>
      <c r="CB4" s="50"/>
      <c r="CC4" s="50"/>
      <c r="CD4" s="50"/>
      <c r="CE4" s="50"/>
      <c r="CF4" s="50"/>
      <c r="CG4" s="50"/>
      <c r="CH4" s="50"/>
      <c r="CI4" s="50"/>
      <c r="CJ4" s="50"/>
      <c r="CK4" s="50"/>
      <c r="CL4" s="50"/>
      <c r="CM4" s="50"/>
      <c r="CN4" s="50"/>
      <c r="CO4" s="50"/>
      <c r="CP4" s="50"/>
      <c r="CQ4" s="50"/>
      <c r="CR4" s="50"/>
      <c r="CS4" s="50"/>
      <c r="CT4" s="50"/>
      <c r="CU4" s="50"/>
      <c r="CV4" s="50"/>
      <c r="CW4" s="50"/>
      <c r="CX4" s="50"/>
      <c r="CY4" s="50"/>
      <c r="CZ4" s="56"/>
      <c r="DA4" s="52"/>
      <c r="DB4" s="53"/>
      <c r="DC4" s="53"/>
      <c r="DD4" s="49" t="s">
        <v>4</v>
      </c>
      <c r="DE4" s="53"/>
      <c r="DF4" s="53"/>
      <c r="DR4" s="50"/>
      <c r="DS4" s="54"/>
      <c r="DV4" s="50"/>
      <c r="DW4" s="56"/>
      <c r="DX4" s="52"/>
      <c r="DY4" s="49" t="s">
        <v>4</v>
      </c>
      <c r="DZ4" s="53"/>
      <c r="EC4" s="50"/>
      <c r="ED4" s="50"/>
      <c r="EE4" s="54"/>
      <c r="EF4" s="50"/>
      <c r="EG4" s="50"/>
      <c r="EH4" s="50"/>
      <c r="EI4" s="50"/>
      <c r="EJ4" s="47"/>
      <c r="EK4" s="416"/>
      <c r="EO4" s="52"/>
      <c r="EQ4" s="468" t="s">
        <v>1</v>
      </c>
      <c r="ER4"/>
      <c r="ES4" s="49" t="s">
        <v>4</v>
      </c>
      <c r="ET4" s="207"/>
      <c r="EU4" s="208"/>
      <c r="EV4" s="50"/>
      <c r="EW4" s="50"/>
      <c r="EX4"/>
      <c r="EY4"/>
      <c r="EZ4"/>
      <c r="FA4"/>
      <c r="FB4"/>
      <c r="FC4"/>
      <c r="FD4"/>
      <c r="FE4"/>
      <c r="FF4"/>
      <c r="FG4"/>
      <c r="FH4"/>
      <c r="FI4"/>
      <c r="FJ4"/>
      <c r="FK4"/>
      <c r="FL4"/>
      <c r="FM4"/>
      <c r="FN4"/>
      <c r="FO4"/>
      <c r="FP4"/>
      <c r="FQ4"/>
      <c r="FR4" s="1"/>
      <c r="FS4"/>
      <c r="FT4"/>
      <c r="FY4" s="50"/>
      <c r="FZ4" s="10"/>
      <c r="GA4" s="172"/>
      <c r="GB4" s="10"/>
      <c r="GC4" s="172"/>
      <c r="GD4" s="50"/>
      <c r="GE4" s="4"/>
      <c r="GF4" s="50"/>
      <c r="GG4" s="50"/>
      <c r="GH4" s="50"/>
      <c r="GI4" s="50"/>
      <c r="GJ4" s="50"/>
      <c r="GK4" s="50"/>
      <c r="GL4" s="50"/>
      <c r="GM4" s="4"/>
      <c r="GN4" s="10"/>
      <c r="GO4" s="10"/>
      <c r="GP4" s="4"/>
      <c r="GQ4" s="10"/>
      <c r="GR4" s="4"/>
      <c r="GS4" s="10"/>
      <c r="GT4" s="4"/>
      <c r="GU4" s="10"/>
      <c r="GV4" s="50"/>
      <c r="GW4" s="10"/>
      <c r="GX4" s="10"/>
      <c r="GY4" s="10"/>
      <c r="GZ4" s="50"/>
      <c r="HA4" s="51"/>
      <c r="HB4" s="50"/>
      <c r="HC4" s="50"/>
      <c r="HD4" s="47"/>
      <c r="HE4" s="52"/>
      <c r="HF4" s="49" t="s">
        <v>4</v>
      </c>
      <c r="HG4" s="184"/>
      <c r="HH4" s="184"/>
      <c r="HI4" s="184"/>
      <c r="HJ4" s="184"/>
      <c r="HK4" s="184"/>
      <c r="HL4" s="184"/>
      <c r="HM4" s="184"/>
      <c r="HN4" s="184"/>
      <c r="HO4" s="184"/>
      <c r="HP4" s="184"/>
      <c r="HQ4" s="50"/>
      <c r="HR4" s="50"/>
      <c r="HS4" s="50"/>
      <c r="HT4" s="50"/>
      <c r="HU4" s="50"/>
      <c r="HV4" s="4"/>
      <c r="HW4" s="4"/>
      <c r="HX4" s="4"/>
      <c r="HY4" s="4"/>
      <c r="HZ4" s="50"/>
      <c r="IC4" s="50"/>
      <c r="ID4" s="50"/>
      <c r="IE4" s="50"/>
      <c r="IF4" s="50"/>
      <c r="IG4" s="4"/>
      <c r="IH4" s="50"/>
      <c r="II4" s="50"/>
      <c r="IJ4" s="50"/>
      <c r="IK4" s="50"/>
      <c r="IL4" s="4"/>
      <c r="IR4" s="4"/>
      <c r="IS4" s="50"/>
      <c r="IT4" s="50"/>
      <c r="IU4" s="50"/>
      <c r="IV4" s="50"/>
      <c r="IW4" s="50"/>
      <c r="IX4" s="50"/>
      <c r="IY4" s="50"/>
      <c r="IZ4" s="50"/>
      <c r="JA4" s="50"/>
      <c r="JB4" s="50"/>
      <c r="JC4" s="50"/>
      <c r="JD4" s="50"/>
      <c r="JE4" s="50"/>
      <c r="JF4" s="50"/>
      <c r="JG4" s="50"/>
      <c r="JH4" s="50"/>
      <c r="JI4" s="50"/>
      <c r="JJ4" s="50"/>
      <c r="JK4" s="50"/>
      <c r="JL4" s="50"/>
      <c r="JM4" s="50"/>
      <c r="JN4" s="10"/>
      <c r="JO4" s="50"/>
      <c r="JP4" s="50"/>
      <c r="JQ4" s="50"/>
      <c r="JR4" s="49" t="s">
        <v>4</v>
      </c>
      <c r="JS4" s="50"/>
      <c r="JT4" s="50"/>
      <c r="JU4" s="50"/>
      <c r="JV4" s="4"/>
      <c r="JW4" s="4"/>
      <c r="JX4" s="50"/>
      <c r="JY4" s="50"/>
      <c r="JZ4" s="50"/>
      <c r="KA4" s="50"/>
      <c r="KB4" s="50"/>
      <c r="KC4" s="50"/>
      <c r="KD4" s="50"/>
      <c r="KE4" s="50"/>
      <c r="KF4" s="50"/>
      <c r="KG4" s="4"/>
      <c r="KH4" s="50"/>
      <c r="KI4" s="50"/>
      <c r="KJ4" s="50"/>
      <c r="KK4" s="50"/>
      <c r="KL4" s="50"/>
      <c r="KM4" s="50"/>
      <c r="KN4" s="4"/>
      <c r="KO4" s="50"/>
      <c r="KP4" s="50"/>
      <c r="KQ4" s="50"/>
      <c r="KR4" s="50"/>
      <c r="KS4" s="50"/>
      <c r="KT4" s="50"/>
      <c r="KU4" s="50"/>
      <c r="KV4" s="50"/>
      <c r="KW4" s="50"/>
      <c r="KX4" s="51"/>
      <c r="KY4" s="50"/>
      <c r="KZ4" s="50"/>
      <c r="LA4" s="47"/>
      <c r="LB4" s="52"/>
      <c r="LC4" s="49" t="s">
        <v>4</v>
      </c>
      <c r="LD4" s="53"/>
      <c r="LE4" s="53"/>
      <c r="LF4" s="53"/>
      <c r="LG4" s="54"/>
      <c r="LI4" s="50"/>
      <c r="LJ4" s="4"/>
      <c r="LK4" s="50"/>
      <c r="LL4" s="50"/>
      <c r="LM4" s="50"/>
      <c r="LN4" s="50"/>
      <c r="MO4" s="172"/>
      <c r="NP4" s="61"/>
      <c r="NT4" s="52"/>
      <c r="NU4" s="49" t="s">
        <v>4</v>
      </c>
      <c r="NV4" s="53"/>
      <c r="NY4" s="50"/>
      <c r="NZ4" s="50"/>
      <c r="OA4" s="54"/>
      <c r="OB4" s="50"/>
      <c r="OC4" s="50"/>
      <c r="OD4" s="50"/>
      <c r="OE4" s="50"/>
      <c r="OF4" s="47"/>
      <c r="OG4" s="52"/>
      <c r="OH4" s="49" t="s">
        <v>4</v>
      </c>
      <c r="OJ4" s="57"/>
      <c r="OK4" s="57"/>
      <c r="OL4" s="57"/>
      <c r="OM4" s="57"/>
      <c r="ON4" s="57"/>
      <c r="OO4" s="57"/>
      <c r="OQ4" s="57"/>
      <c r="OT4" s="52"/>
      <c r="OU4" s="85"/>
      <c r="OV4" s="67"/>
      <c r="OW4" s="85"/>
      <c r="OX4" s="85"/>
      <c r="OY4" s="67"/>
      <c r="OZ4" s="85"/>
      <c r="PA4" s="67"/>
      <c r="PB4" s="85"/>
      <c r="PC4" s="85"/>
      <c r="PD4" s="67"/>
      <c r="PE4" s="85"/>
      <c r="PF4" s="67"/>
      <c r="PG4" s="85"/>
      <c r="PH4" s="67"/>
      <c r="PI4" s="56"/>
      <c r="PJ4" s="56"/>
      <c r="PK4" s="88"/>
      <c r="PL4" s="56"/>
      <c r="PM4" s="56"/>
      <c r="PN4" s="88"/>
      <c r="PO4" s="85"/>
      <c r="PP4" s="67"/>
      <c r="PQ4" s="58"/>
      <c r="PR4" s="303"/>
    </row>
    <row r="5" spans="1:434" s="55" customFormat="1" ht="16" customHeight="1" x14ac:dyDescent="0.45">
      <c r="A5" s="193"/>
      <c r="B5" s="207" t="s">
        <v>5</v>
      </c>
      <c r="C5"/>
      <c r="D5"/>
      <c r="E5"/>
      <c r="F5"/>
      <c r="G5"/>
      <c r="H5"/>
      <c r="I5"/>
      <c r="J5"/>
      <c r="K5"/>
      <c r="L5"/>
      <c r="M5"/>
      <c r="N5"/>
      <c r="O5"/>
      <c r="P5"/>
      <c r="Q5"/>
      <c r="R5"/>
      <c r="S5"/>
      <c r="T5"/>
      <c r="U5"/>
      <c r="V5" s="50"/>
      <c r="W5" s="50"/>
      <c r="X5" s="50"/>
      <c r="Y5" s="51"/>
      <c r="Z5" s="50"/>
      <c r="AA5" s="78"/>
      <c r="AB5" s="47"/>
      <c r="AC5" s="52"/>
      <c r="AD5" s="207" t="s">
        <v>5</v>
      </c>
      <c r="AF5" s="53"/>
      <c r="AG5" s="53"/>
      <c r="AH5" s="53"/>
      <c r="AI5" s="53"/>
      <c r="AS5" s="50"/>
      <c r="AT5" s="54"/>
      <c r="AX5" s="50"/>
      <c r="AY5" s="50"/>
      <c r="AZ5" s="50"/>
      <c r="BH5" s="50"/>
      <c r="BI5" s="50"/>
      <c r="BJ5" s="50"/>
      <c r="BK5" s="50"/>
      <c r="BL5" s="50"/>
      <c r="BM5" s="50"/>
      <c r="BN5" s="50"/>
      <c r="BO5" s="50"/>
      <c r="BP5" s="50"/>
      <c r="BQ5" s="50"/>
      <c r="BR5" s="50"/>
      <c r="BS5" s="50"/>
      <c r="BT5" s="50"/>
      <c r="BU5" s="50"/>
      <c r="BV5" s="50"/>
      <c r="BW5" s="50"/>
      <c r="BX5" s="50"/>
      <c r="BY5" s="50"/>
      <c r="BZ5" s="50"/>
      <c r="CA5" s="50"/>
      <c r="CB5" s="50"/>
      <c r="CC5" s="50"/>
      <c r="CD5" s="50"/>
      <c r="CE5" s="50"/>
      <c r="CF5" s="50"/>
      <c r="CG5" s="50"/>
      <c r="CH5" s="50"/>
      <c r="CI5" s="50"/>
      <c r="CJ5" s="50"/>
      <c r="CK5" s="50"/>
      <c r="CL5" s="50"/>
      <c r="CM5" s="50"/>
      <c r="CN5" s="50"/>
      <c r="CO5" s="50"/>
      <c r="CP5" s="50"/>
      <c r="CQ5" s="50"/>
      <c r="CR5" s="50"/>
      <c r="CS5" s="50"/>
      <c r="CT5" s="50"/>
      <c r="CU5" s="50"/>
      <c r="CV5" s="50"/>
      <c r="CW5" s="50"/>
      <c r="CX5" s="50"/>
      <c r="CY5" s="50"/>
      <c r="CZ5" s="56"/>
      <c r="DA5" s="52"/>
      <c r="DB5" s="53"/>
      <c r="DC5" s="53"/>
      <c r="DD5" s="207" t="s">
        <v>5</v>
      </c>
      <c r="DE5" s="53"/>
      <c r="DF5" s="53"/>
      <c r="DR5" s="50"/>
      <c r="DS5" s="54"/>
      <c r="DV5" s="50"/>
      <c r="DW5" s="56"/>
      <c r="DX5" s="52"/>
      <c r="DY5" s="207" t="s">
        <v>5</v>
      </c>
      <c r="DZ5" s="53"/>
      <c r="EC5" s="50"/>
      <c r="ED5" s="50"/>
      <c r="EE5" s="54"/>
      <c r="EF5" s="50"/>
      <c r="EG5" s="50"/>
      <c r="EH5" s="50"/>
      <c r="EI5" s="50"/>
      <c r="EJ5" s="47"/>
      <c r="EK5" s="416"/>
      <c r="EO5" s="52"/>
      <c r="EQ5" s="468" t="s">
        <v>1</v>
      </c>
      <c r="ER5"/>
      <c r="ES5" s="207" t="s">
        <v>5</v>
      </c>
      <c r="ET5" s="207"/>
      <c r="EU5" s="208"/>
      <c r="EV5" s="50"/>
      <c r="EW5" s="50"/>
      <c r="EX5"/>
      <c r="EY5"/>
      <c r="EZ5"/>
      <c r="FA5"/>
      <c r="FB5"/>
      <c r="FC5"/>
      <c r="FD5"/>
      <c r="FE5"/>
      <c r="FF5"/>
      <c r="FG5"/>
      <c r="FH5"/>
      <c r="FI5"/>
      <c r="FJ5"/>
      <c r="FK5"/>
      <c r="FL5"/>
      <c r="FM5"/>
      <c r="FN5"/>
      <c r="FO5"/>
      <c r="FP5"/>
      <c r="FQ5"/>
      <c r="FR5" s="1"/>
      <c r="FS5"/>
      <c r="FT5"/>
      <c r="FY5" s="50"/>
      <c r="FZ5" s="10"/>
      <c r="GA5" s="172"/>
      <c r="GB5" s="10"/>
      <c r="GC5" s="172"/>
      <c r="GD5" s="50"/>
      <c r="GE5" s="4"/>
      <c r="GF5" s="50"/>
      <c r="GG5" s="50"/>
      <c r="GH5" s="50"/>
      <c r="GI5" s="50"/>
      <c r="GJ5" s="50"/>
      <c r="GK5" s="50"/>
      <c r="GL5" s="50"/>
      <c r="GM5" s="4"/>
      <c r="GN5" s="10"/>
      <c r="GO5" s="10"/>
      <c r="GP5" s="4"/>
      <c r="GQ5" s="10"/>
      <c r="GR5" s="4"/>
      <c r="GS5" s="10"/>
      <c r="GT5" s="4"/>
      <c r="GU5" s="10"/>
      <c r="GV5" s="50"/>
      <c r="GW5" s="10"/>
      <c r="GX5" s="10"/>
      <c r="GY5" s="10"/>
      <c r="GZ5" s="50"/>
      <c r="HA5" s="51"/>
      <c r="HB5" s="50"/>
      <c r="HC5" s="50"/>
      <c r="HD5" s="47"/>
      <c r="HE5" s="52"/>
      <c r="HF5" s="207" t="s">
        <v>5</v>
      </c>
      <c r="HG5" s="184"/>
      <c r="HH5" s="184"/>
      <c r="HI5" s="184"/>
      <c r="HJ5" s="184"/>
      <c r="HK5" s="184"/>
      <c r="HL5" s="184"/>
      <c r="HM5" s="184"/>
      <c r="HN5" s="184"/>
      <c r="HO5" s="184"/>
      <c r="HP5" s="184"/>
      <c r="HQ5" s="50"/>
      <c r="HR5" s="50"/>
      <c r="HS5" s="50"/>
      <c r="HT5" s="50"/>
      <c r="HU5" s="50"/>
      <c r="HV5" s="4"/>
      <c r="HW5" s="4"/>
      <c r="HX5" s="4"/>
      <c r="HY5" s="4"/>
      <c r="HZ5" s="50"/>
      <c r="IC5" s="50"/>
      <c r="ID5" s="50"/>
      <c r="IE5" s="50"/>
      <c r="IF5" s="50"/>
      <c r="IG5" s="4"/>
      <c r="IH5" s="50"/>
      <c r="II5" s="50"/>
      <c r="IJ5" s="50"/>
      <c r="IK5" s="50"/>
      <c r="IL5" s="4"/>
      <c r="IR5" s="4"/>
      <c r="IS5" s="50"/>
      <c r="IT5" s="50"/>
      <c r="IU5" s="50"/>
      <c r="IV5" s="50"/>
      <c r="IW5" s="50"/>
      <c r="IX5" s="50"/>
      <c r="IY5" s="50"/>
      <c r="IZ5" s="50"/>
      <c r="JA5" s="50"/>
      <c r="JB5" s="50"/>
      <c r="JC5" s="50"/>
      <c r="JD5" s="50"/>
      <c r="JE5" s="50"/>
      <c r="JF5" s="50"/>
      <c r="JG5" s="50"/>
      <c r="JH5" s="50"/>
      <c r="JI5" s="50"/>
      <c r="JJ5" s="50"/>
      <c r="JK5" s="50"/>
      <c r="JL5" s="50"/>
      <c r="JM5" s="50"/>
      <c r="JN5" s="10"/>
      <c r="JO5" s="50"/>
      <c r="JP5" s="50"/>
      <c r="JQ5" s="50"/>
      <c r="JR5" s="207" t="s">
        <v>5</v>
      </c>
      <c r="JS5" s="50"/>
      <c r="JT5" s="50"/>
      <c r="JU5" s="50"/>
      <c r="JV5" s="4"/>
      <c r="JW5" s="4"/>
      <c r="JX5" s="50"/>
      <c r="JY5" s="50"/>
      <c r="JZ5" s="50"/>
      <c r="KA5" s="50"/>
      <c r="KB5" s="50"/>
      <c r="KC5" s="50"/>
      <c r="KD5" s="50"/>
      <c r="KE5" s="50"/>
      <c r="KF5" s="50"/>
      <c r="KG5" s="4"/>
      <c r="KH5" s="50"/>
      <c r="KI5" s="50"/>
      <c r="KJ5" s="50"/>
      <c r="KK5" s="50"/>
      <c r="KL5" s="50"/>
      <c r="KM5" s="50"/>
      <c r="KN5" s="4"/>
      <c r="KO5" s="50"/>
      <c r="KP5" s="50"/>
      <c r="KQ5" s="50"/>
      <c r="KR5" s="50"/>
      <c r="KS5" s="50"/>
      <c r="KT5" s="50"/>
      <c r="KU5" s="50"/>
      <c r="KV5" s="50"/>
      <c r="KW5" s="50"/>
      <c r="KX5" s="51"/>
      <c r="KY5" s="50"/>
      <c r="KZ5" s="50"/>
      <c r="LA5" s="47"/>
      <c r="LB5" s="52"/>
      <c r="LC5" s="207" t="s">
        <v>5</v>
      </c>
      <c r="LD5" s="53"/>
      <c r="LE5" s="53"/>
      <c r="LF5" s="53"/>
      <c r="LG5" s="54"/>
      <c r="LI5" s="50"/>
      <c r="LJ5" s="4"/>
      <c r="LK5" s="50"/>
      <c r="LL5" s="50"/>
      <c r="LM5" s="50"/>
      <c r="LN5" s="50"/>
      <c r="MO5" s="172"/>
      <c r="NP5" s="61"/>
      <c r="NT5" s="52"/>
      <c r="NU5" s="207" t="s">
        <v>5</v>
      </c>
      <c r="NV5" s="53"/>
      <c r="NY5" s="50"/>
      <c r="NZ5" s="50"/>
      <c r="OA5" s="54"/>
      <c r="OB5" s="50"/>
      <c r="OC5" s="50"/>
      <c r="OD5" s="50"/>
      <c r="OE5" s="50"/>
      <c r="OF5" s="47"/>
      <c r="OG5" s="52"/>
      <c r="OH5" s="207" t="s">
        <v>5</v>
      </c>
      <c r="OJ5" s="57"/>
      <c r="OK5" s="57"/>
      <c r="OL5" s="57"/>
      <c r="OM5" s="57"/>
      <c r="ON5" s="57"/>
      <c r="OO5" s="57"/>
      <c r="OQ5" s="57"/>
      <c r="OT5" s="52"/>
      <c r="OU5" s="85"/>
      <c r="OV5" s="67"/>
      <c r="OW5" s="85"/>
      <c r="OX5" s="85"/>
      <c r="OY5" s="67"/>
      <c r="OZ5" s="85"/>
      <c r="PA5" s="67"/>
      <c r="PB5" s="85"/>
      <c r="PC5" s="85"/>
      <c r="PD5" s="67"/>
      <c r="PE5" s="85"/>
      <c r="PF5" s="67"/>
      <c r="PG5" s="85"/>
      <c r="PH5" s="67"/>
      <c r="PI5" s="56"/>
      <c r="PJ5" s="56"/>
      <c r="PK5" s="88"/>
      <c r="PL5" s="56"/>
      <c r="PM5" s="56"/>
      <c r="PN5" s="88"/>
      <c r="PO5" s="85"/>
      <c r="PP5" s="67"/>
      <c r="PQ5" s="58"/>
      <c r="PR5" s="303"/>
    </row>
    <row r="6" spans="1:434" s="55" customFormat="1" ht="18.649999999999999" customHeight="1" x14ac:dyDescent="0.45">
      <c r="A6" s="193"/>
      <c r="B6" s="207" t="s">
        <v>6</v>
      </c>
      <c r="C6"/>
      <c r="D6"/>
      <c r="E6"/>
      <c r="F6"/>
      <c r="G6"/>
      <c r="H6"/>
      <c r="I6"/>
      <c r="J6"/>
      <c r="K6"/>
      <c r="L6"/>
      <c r="M6"/>
      <c r="N6"/>
      <c r="O6"/>
      <c r="P6"/>
      <c r="Q6"/>
      <c r="R6"/>
      <c r="S6"/>
      <c r="T6"/>
      <c r="U6"/>
      <c r="V6" s="50"/>
      <c r="W6" s="50"/>
      <c r="X6" s="50"/>
      <c r="Y6" s="51"/>
      <c r="Z6" s="50"/>
      <c r="AA6" s="78"/>
      <c r="AB6" s="47"/>
      <c r="AC6" s="52"/>
      <c r="AD6" s="207" t="s">
        <v>6</v>
      </c>
      <c r="AF6" s="53"/>
      <c r="AG6" s="53"/>
      <c r="AH6" s="53"/>
      <c r="AI6" s="53"/>
      <c r="AS6" s="50"/>
      <c r="AT6" s="54"/>
      <c r="AX6" s="50"/>
      <c r="AY6" s="50"/>
      <c r="AZ6" s="50"/>
      <c r="BH6" s="50"/>
      <c r="BI6" s="50"/>
      <c r="BJ6" s="50"/>
      <c r="BK6" s="50"/>
      <c r="BL6" s="50"/>
      <c r="BM6" s="50"/>
      <c r="BN6" s="50"/>
      <c r="BO6" s="50"/>
      <c r="BP6" s="50"/>
      <c r="BQ6" s="50"/>
      <c r="BR6" s="50"/>
      <c r="BS6" s="50"/>
      <c r="BT6" s="50"/>
      <c r="BU6" s="50"/>
      <c r="BV6" s="50"/>
      <c r="BW6" s="50"/>
      <c r="BX6" s="50"/>
      <c r="BY6" s="50"/>
      <c r="BZ6" s="50"/>
      <c r="CA6" s="50"/>
      <c r="CB6" s="50"/>
      <c r="CC6" s="50"/>
      <c r="CD6" s="50"/>
      <c r="CE6" s="50"/>
      <c r="CF6" s="50"/>
      <c r="CG6" s="50"/>
      <c r="CH6" s="50"/>
      <c r="CI6" s="50"/>
      <c r="CJ6" s="50"/>
      <c r="CK6" s="50"/>
      <c r="CL6" s="50"/>
      <c r="CM6" s="50"/>
      <c r="CN6" s="50"/>
      <c r="CO6" s="50"/>
      <c r="CP6" s="50"/>
      <c r="CQ6" s="50"/>
      <c r="CR6" s="50"/>
      <c r="CS6" s="50"/>
      <c r="CT6" s="50"/>
      <c r="CU6" s="50"/>
      <c r="CV6" s="50"/>
      <c r="CW6" s="50"/>
      <c r="CX6" s="50"/>
      <c r="CY6" s="50"/>
      <c r="CZ6" s="56"/>
      <c r="DA6" s="52"/>
      <c r="DB6" s="53"/>
      <c r="DC6" s="53"/>
      <c r="DD6" s="207" t="s">
        <v>6</v>
      </c>
      <c r="DE6" s="53"/>
      <c r="DF6" s="53"/>
      <c r="DR6" s="50"/>
      <c r="DS6" s="54"/>
      <c r="DV6" s="50"/>
      <c r="DW6" s="56"/>
      <c r="DX6" s="52"/>
      <c r="DY6" s="207" t="s">
        <v>6</v>
      </c>
      <c r="DZ6" s="53"/>
      <c r="EC6" s="50"/>
      <c r="ED6" s="50"/>
      <c r="EE6" s="54"/>
      <c r="EF6" s="50"/>
      <c r="EG6" s="50"/>
      <c r="EH6" s="50"/>
      <c r="EI6" s="50"/>
      <c r="EJ6" s="47"/>
      <c r="EK6" s="416"/>
      <c r="EO6" s="52"/>
      <c r="EQ6" s="468" t="s">
        <v>1</v>
      </c>
      <c r="ER6"/>
      <c r="ES6" s="207" t="s">
        <v>6</v>
      </c>
      <c r="ET6" s="207"/>
      <c r="EU6" s="208"/>
      <c r="EV6" s="50"/>
      <c r="EW6" s="50"/>
      <c r="EX6"/>
      <c r="EY6"/>
      <c r="EZ6"/>
      <c r="FA6"/>
      <c r="FB6"/>
      <c r="FC6"/>
      <c r="FD6"/>
      <c r="FE6"/>
      <c r="FF6"/>
      <c r="FG6"/>
      <c r="FH6"/>
      <c r="FI6"/>
      <c r="FJ6"/>
      <c r="FK6"/>
      <c r="FL6"/>
      <c r="FM6"/>
      <c r="FN6"/>
      <c r="FO6"/>
      <c r="FP6"/>
      <c r="FQ6"/>
      <c r="FR6" s="1"/>
      <c r="FS6"/>
      <c r="FT6"/>
      <c r="FY6" s="50"/>
      <c r="FZ6" s="10"/>
      <c r="GA6" s="172"/>
      <c r="GB6" s="10"/>
      <c r="GC6" s="172"/>
      <c r="GD6" s="50"/>
      <c r="GE6" s="4"/>
      <c r="GF6" s="50"/>
      <c r="GG6" s="50"/>
      <c r="GH6" s="50"/>
      <c r="GI6" s="50"/>
      <c r="GJ6" s="50"/>
      <c r="GK6" s="50"/>
      <c r="GL6" s="50"/>
      <c r="GM6" s="4"/>
      <c r="GN6" s="10"/>
      <c r="GO6" s="10"/>
      <c r="GP6" s="4"/>
      <c r="GQ6" s="10"/>
      <c r="GR6" s="4"/>
      <c r="GS6" s="10"/>
      <c r="GT6" s="4"/>
      <c r="GU6" s="10"/>
      <c r="GV6" s="50"/>
      <c r="GW6" s="10"/>
      <c r="GX6" s="10"/>
      <c r="GY6" s="10"/>
      <c r="GZ6" s="50"/>
      <c r="HA6" s="51"/>
      <c r="HB6" s="50"/>
      <c r="HC6" s="50"/>
      <c r="HD6" s="47"/>
      <c r="HE6" s="52"/>
      <c r="HF6" s="207" t="s">
        <v>6</v>
      </c>
      <c r="HG6" s="184"/>
      <c r="HH6" s="184"/>
      <c r="HI6" s="184"/>
      <c r="HJ6" s="184"/>
      <c r="HK6" s="184"/>
      <c r="HL6" s="184"/>
      <c r="HM6" s="184"/>
      <c r="HN6" s="184"/>
      <c r="HO6" s="184"/>
      <c r="HP6" s="184"/>
      <c r="HQ6" s="50"/>
      <c r="HR6" s="50"/>
      <c r="HS6" s="50"/>
      <c r="HT6" s="50"/>
      <c r="HU6" s="50"/>
      <c r="HV6" s="4"/>
      <c r="HW6" s="4"/>
      <c r="HX6" s="4"/>
      <c r="HY6" s="4"/>
      <c r="HZ6" s="50"/>
      <c r="IC6" s="50"/>
      <c r="ID6" s="50"/>
      <c r="IE6" s="50"/>
      <c r="IF6" s="50"/>
      <c r="IG6" s="4"/>
      <c r="IH6" s="50"/>
      <c r="II6" s="50"/>
      <c r="IJ6" s="50"/>
      <c r="IK6" s="50"/>
      <c r="IL6" s="4"/>
      <c r="IR6" s="4"/>
      <c r="IS6" s="50"/>
      <c r="IT6" s="50"/>
      <c r="IU6" s="50"/>
      <c r="IV6" s="50"/>
      <c r="IW6" s="50"/>
      <c r="IX6" s="50"/>
      <c r="IY6" s="50"/>
      <c r="IZ6" s="50"/>
      <c r="JA6" s="50"/>
      <c r="JB6" s="50"/>
      <c r="JC6" s="50"/>
      <c r="JD6" s="50"/>
      <c r="JE6" s="50"/>
      <c r="JF6" s="50"/>
      <c r="JG6" s="50"/>
      <c r="JH6" s="50"/>
      <c r="JI6" s="50"/>
      <c r="JJ6" s="50"/>
      <c r="JK6" s="50"/>
      <c r="JL6" s="50"/>
      <c r="JM6" s="50"/>
      <c r="JN6" s="10"/>
      <c r="JO6" s="50"/>
      <c r="JP6" s="50"/>
      <c r="JQ6" s="50"/>
      <c r="JR6" s="207" t="s">
        <v>6</v>
      </c>
      <c r="JS6" s="50"/>
      <c r="JT6" s="50"/>
      <c r="JU6" s="50"/>
      <c r="JV6" s="4"/>
      <c r="JW6" s="4"/>
      <c r="JX6" s="50"/>
      <c r="JY6" s="50"/>
      <c r="JZ6" s="50"/>
      <c r="KA6" s="50"/>
      <c r="KB6" s="50"/>
      <c r="KC6" s="50"/>
      <c r="KD6" s="50"/>
      <c r="KE6" s="50"/>
      <c r="KF6" s="50"/>
      <c r="KG6" s="4"/>
      <c r="KH6" s="50"/>
      <c r="KI6" s="50"/>
      <c r="KJ6" s="50"/>
      <c r="KK6" s="50"/>
      <c r="KL6" s="50"/>
      <c r="KM6" s="50"/>
      <c r="KN6" s="4"/>
      <c r="KO6" s="50"/>
      <c r="KP6" s="50"/>
      <c r="KQ6" s="50"/>
      <c r="KR6" s="50"/>
      <c r="KS6" s="50"/>
      <c r="KT6" s="50"/>
      <c r="KU6" s="50"/>
      <c r="KV6" s="50"/>
      <c r="KW6" s="50"/>
      <c r="KX6" s="51"/>
      <c r="KY6" s="50"/>
      <c r="KZ6" s="50"/>
      <c r="LA6" s="47"/>
      <c r="LB6" s="52"/>
      <c r="LC6" s="207" t="s">
        <v>6</v>
      </c>
      <c r="LD6" s="53"/>
      <c r="LE6" s="53"/>
      <c r="LF6" s="53"/>
      <c r="LG6" s="54"/>
      <c r="LI6" s="50"/>
      <c r="LJ6" s="4"/>
      <c r="LK6" s="50"/>
      <c r="LL6" s="50"/>
      <c r="LM6" s="50"/>
      <c r="LN6" s="50"/>
      <c r="MO6" s="172"/>
      <c r="NP6" s="61"/>
      <c r="NT6" s="52"/>
      <c r="NU6" s="207" t="s">
        <v>6</v>
      </c>
      <c r="NV6" s="53"/>
      <c r="NY6" s="50"/>
      <c r="NZ6" s="50"/>
      <c r="OA6" s="54"/>
      <c r="OB6" s="50"/>
      <c r="OC6" s="50"/>
      <c r="OD6" s="50"/>
      <c r="OE6" s="50"/>
      <c r="OF6" s="47"/>
      <c r="OG6" s="52"/>
      <c r="OH6" s="207" t="s">
        <v>6</v>
      </c>
      <c r="OJ6" s="57"/>
      <c r="OK6" s="57"/>
      <c r="OL6" s="57"/>
      <c r="OM6" s="57"/>
      <c r="ON6" s="57"/>
      <c r="OO6" s="57"/>
      <c r="OQ6" s="57"/>
      <c r="OT6" s="52"/>
      <c r="OU6" s="85"/>
      <c r="OV6" s="67"/>
      <c r="OW6" s="85"/>
      <c r="OX6" s="85"/>
      <c r="OY6" s="67"/>
      <c r="OZ6" s="85"/>
      <c r="PA6" s="67"/>
      <c r="PB6" s="85"/>
      <c r="PC6" s="85"/>
      <c r="PD6" s="67"/>
      <c r="PE6" s="85"/>
      <c r="PF6" s="67"/>
      <c r="PG6" s="85"/>
      <c r="PH6" s="67"/>
      <c r="PI6" s="56"/>
      <c r="PJ6" s="56"/>
      <c r="PK6" s="88"/>
      <c r="PL6" s="56"/>
      <c r="PM6" s="56"/>
      <c r="PN6" s="88"/>
      <c r="PO6" s="85"/>
      <c r="PP6" s="67"/>
      <c r="PQ6" s="58"/>
      <c r="PR6" s="303"/>
    </row>
    <row r="7" spans="1:434" s="55" customFormat="1" ht="17.5" customHeight="1" x14ac:dyDescent="0.45">
      <c r="A7" s="193"/>
      <c r="B7" s="207" t="s">
        <v>7</v>
      </c>
      <c r="C7"/>
      <c r="D7"/>
      <c r="E7"/>
      <c r="F7"/>
      <c r="G7"/>
      <c r="H7"/>
      <c r="I7"/>
      <c r="J7"/>
      <c r="K7"/>
      <c r="L7"/>
      <c r="M7"/>
      <c r="N7"/>
      <c r="O7"/>
      <c r="P7"/>
      <c r="Q7"/>
      <c r="R7"/>
      <c r="S7"/>
      <c r="T7"/>
      <c r="U7"/>
      <c r="V7" s="50"/>
      <c r="W7" s="50"/>
      <c r="X7" s="50"/>
      <c r="Y7" s="51"/>
      <c r="Z7" s="50"/>
      <c r="AA7" s="78"/>
      <c r="AB7" s="47"/>
      <c r="AC7" s="52"/>
      <c r="AD7" s="207" t="s">
        <v>7</v>
      </c>
      <c r="AF7" s="53"/>
      <c r="AG7" s="53"/>
      <c r="AH7" s="53"/>
      <c r="AI7" s="53"/>
      <c r="AS7" s="50"/>
      <c r="AT7" s="54"/>
      <c r="AX7" s="50"/>
      <c r="AY7" s="50"/>
      <c r="AZ7" s="50"/>
      <c r="BH7" s="50"/>
      <c r="BI7" s="50"/>
      <c r="BJ7" s="50"/>
      <c r="BK7" s="50"/>
      <c r="BL7" s="50"/>
      <c r="BM7" s="50"/>
      <c r="BN7" s="50"/>
      <c r="BO7" s="50"/>
      <c r="BP7" s="50"/>
      <c r="BQ7" s="50"/>
      <c r="BR7" s="50"/>
      <c r="BS7" s="50"/>
      <c r="BT7" s="50"/>
      <c r="BU7" s="50"/>
      <c r="BV7" s="50"/>
      <c r="BW7" s="50"/>
      <c r="BX7" s="50"/>
      <c r="BY7" s="50"/>
      <c r="BZ7" s="50"/>
      <c r="CA7" s="50"/>
      <c r="CB7" s="50"/>
      <c r="CC7" s="50"/>
      <c r="CD7" s="50"/>
      <c r="CE7" s="50"/>
      <c r="CF7" s="50"/>
      <c r="CG7" s="50"/>
      <c r="CH7" s="50"/>
      <c r="CI7" s="50"/>
      <c r="CJ7" s="50"/>
      <c r="CK7" s="50"/>
      <c r="CL7" s="50"/>
      <c r="CM7" s="50"/>
      <c r="CN7" s="50"/>
      <c r="CO7" s="50"/>
      <c r="CP7" s="50"/>
      <c r="CQ7" s="50"/>
      <c r="CR7" s="50"/>
      <c r="CS7" s="50"/>
      <c r="CT7" s="50"/>
      <c r="CU7" s="50"/>
      <c r="CV7" s="50"/>
      <c r="CW7" s="50"/>
      <c r="CX7" s="50"/>
      <c r="CY7" s="50"/>
      <c r="CZ7" s="56"/>
      <c r="DA7" s="52"/>
      <c r="DB7" s="53"/>
      <c r="DC7" s="53"/>
      <c r="DD7" s="207" t="s">
        <v>7</v>
      </c>
      <c r="DE7" s="53"/>
      <c r="DF7" s="53"/>
      <c r="DR7" s="50"/>
      <c r="DS7" s="54"/>
      <c r="DV7" s="50"/>
      <c r="DW7" s="56"/>
      <c r="DX7" s="52"/>
      <c r="DY7" s="207" t="s">
        <v>7</v>
      </c>
      <c r="DZ7" s="53"/>
      <c r="EC7" s="50"/>
      <c r="ED7" s="50"/>
      <c r="EE7" s="54"/>
      <c r="EF7" s="50"/>
      <c r="EG7" s="50"/>
      <c r="EH7" s="50"/>
      <c r="EI7" s="50"/>
      <c r="EJ7" s="47"/>
      <c r="EK7" s="416"/>
      <c r="EO7" s="52"/>
      <c r="EQ7" s="468" t="s">
        <v>1</v>
      </c>
      <c r="ER7"/>
      <c r="ES7" s="207" t="s">
        <v>7</v>
      </c>
      <c r="ET7" s="207"/>
      <c r="EU7" s="208"/>
      <c r="EV7" s="50"/>
      <c r="EW7" s="50"/>
      <c r="EX7"/>
      <c r="EY7"/>
      <c r="EZ7"/>
      <c r="FA7"/>
      <c r="FB7"/>
      <c r="FC7"/>
      <c r="FD7"/>
      <c r="FE7"/>
      <c r="FF7"/>
      <c r="FG7"/>
      <c r="FH7"/>
      <c r="FI7"/>
      <c r="FJ7"/>
      <c r="FK7"/>
      <c r="FL7"/>
      <c r="FM7"/>
      <c r="FN7"/>
      <c r="FO7"/>
      <c r="FP7"/>
      <c r="FQ7"/>
      <c r="FR7" s="1"/>
      <c r="FS7"/>
      <c r="FT7"/>
      <c r="FY7" s="50"/>
      <c r="FZ7" s="10"/>
      <c r="GA7" s="172"/>
      <c r="GB7" s="10"/>
      <c r="GC7" s="172"/>
      <c r="GD7" s="50"/>
      <c r="GE7" s="4"/>
      <c r="GF7" s="50"/>
      <c r="GG7" s="50"/>
      <c r="GH7" s="50"/>
      <c r="GI7" s="50"/>
      <c r="GJ7" s="50"/>
      <c r="GK7" s="50"/>
      <c r="GL7" s="50"/>
      <c r="GM7" s="4"/>
      <c r="GN7" s="10"/>
      <c r="GO7" s="10"/>
      <c r="GP7" s="4"/>
      <c r="GQ7" s="10"/>
      <c r="GR7" s="4"/>
      <c r="GS7" s="10"/>
      <c r="GT7" s="4"/>
      <c r="GU7" s="10"/>
      <c r="GV7" s="50"/>
      <c r="GW7" s="10"/>
      <c r="GX7" s="10"/>
      <c r="GY7" s="10"/>
      <c r="GZ7" s="50"/>
      <c r="HA7" s="51"/>
      <c r="HB7" s="50"/>
      <c r="HC7" s="50"/>
      <c r="HD7" s="47"/>
      <c r="HE7" s="52"/>
      <c r="HF7" s="207" t="s">
        <v>7</v>
      </c>
      <c r="HG7" s="53"/>
      <c r="HI7" s="54"/>
      <c r="HJ7" s="54"/>
      <c r="HK7" s="50"/>
      <c r="HL7" s="4"/>
      <c r="HM7" s="50"/>
      <c r="HN7" s="50"/>
      <c r="HP7" s="50"/>
      <c r="HQ7" s="50"/>
      <c r="HR7" s="50"/>
      <c r="HS7" s="50"/>
      <c r="HT7" s="50"/>
      <c r="HU7" s="50"/>
      <c r="HV7" s="4"/>
      <c r="HW7" s="4"/>
      <c r="HX7" s="4"/>
      <c r="HY7" s="4"/>
      <c r="HZ7" s="50"/>
      <c r="IC7" s="50"/>
      <c r="ID7" s="50"/>
      <c r="IE7" s="50"/>
      <c r="IF7" s="50"/>
      <c r="IG7" s="4"/>
      <c r="IH7" s="50"/>
      <c r="II7" s="50"/>
      <c r="IJ7" s="50"/>
      <c r="IK7" s="50"/>
      <c r="IL7" s="4"/>
      <c r="IR7" s="4"/>
      <c r="IS7" s="50"/>
      <c r="IT7" s="50"/>
      <c r="IU7" s="50"/>
      <c r="IV7" s="50"/>
      <c r="IW7" s="50"/>
      <c r="IX7" s="50"/>
      <c r="IY7" s="50"/>
      <c r="IZ7" s="50"/>
      <c r="JA7" s="50"/>
      <c r="JB7" s="50"/>
      <c r="JC7" s="50"/>
      <c r="JD7" s="50"/>
      <c r="JE7" s="50"/>
      <c r="JF7" s="50"/>
      <c r="JG7" s="50"/>
      <c r="JH7" s="50"/>
      <c r="JI7" s="50"/>
      <c r="JJ7" s="50"/>
      <c r="JK7" s="50"/>
      <c r="JL7" s="50"/>
      <c r="JM7" s="50"/>
      <c r="JN7" s="10"/>
      <c r="JO7" s="50"/>
      <c r="JP7" s="50"/>
      <c r="JQ7" s="50"/>
      <c r="JR7" s="207" t="s">
        <v>7</v>
      </c>
      <c r="JS7" s="50"/>
      <c r="JT7" s="50"/>
      <c r="JU7" s="50"/>
      <c r="JV7" s="4"/>
      <c r="JW7" s="4"/>
      <c r="JX7" s="50"/>
      <c r="JY7" s="50"/>
      <c r="JZ7" s="50"/>
      <c r="KA7" s="50"/>
      <c r="KB7" s="50"/>
      <c r="KC7" s="50"/>
      <c r="KD7" s="50"/>
      <c r="KE7" s="50"/>
      <c r="KF7" s="50"/>
      <c r="KG7" s="4"/>
      <c r="KH7" s="50"/>
      <c r="KI7" s="50"/>
      <c r="KJ7" s="50"/>
      <c r="KK7" s="50"/>
      <c r="KL7" s="50"/>
      <c r="KM7" s="50"/>
      <c r="KN7" s="4"/>
      <c r="KO7" s="50"/>
      <c r="KP7" s="50"/>
      <c r="KQ7" s="50"/>
      <c r="KR7" s="50"/>
      <c r="KS7" s="50"/>
      <c r="KT7" s="50"/>
      <c r="KU7" s="50"/>
      <c r="KV7" s="50"/>
      <c r="KW7" s="50"/>
      <c r="KX7" s="51"/>
      <c r="KY7" s="50"/>
      <c r="KZ7" s="50"/>
      <c r="LA7" s="47"/>
      <c r="LB7" s="52"/>
      <c r="LC7" s="207" t="s">
        <v>7</v>
      </c>
      <c r="LD7" s="53"/>
      <c r="LE7" s="53"/>
      <c r="LF7" s="53"/>
      <c r="LG7" s="54"/>
      <c r="LI7" s="50"/>
      <c r="LJ7" s="4"/>
      <c r="LK7" s="50"/>
      <c r="LL7" s="50"/>
      <c r="LM7" s="50"/>
      <c r="LN7" s="50"/>
      <c r="MO7" s="172"/>
      <c r="NP7" s="61"/>
      <c r="NT7" s="52"/>
      <c r="NU7" s="207" t="s">
        <v>7</v>
      </c>
      <c r="NV7" s="53"/>
      <c r="NY7" s="50"/>
      <c r="NZ7" s="50"/>
      <c r="OA7" s="54"/>
      <c r="OB7" s="50"/>
      <c r="OC7" s="50"/>
      <c r="OD7" s="50"/>
      <c r="OE7" s="50"/>
      <c r="OF7" s="47"/>
      <c r="OG7" s="52"/>
      <c r="OH7" s="207" t="s">
        <v>7</v>
      </c>
      <c r="OJ7" s="57"/>
      <c r="OK7" s="57"/>
      <c r="OL7" s="57"/>
      <c r="OM7" s="57"/>
      <c r="ON7" s="57"/>
      <c r="OO7" s="57"/>
      <c r="OQ7" s="57"/>
      <c r="OT7" s="52"/>
      <c r="OU7" s="85"/>
      <c r="OV7" s="67"/>
      <c r="OW7" s="85"/>
      <c r="OX7" s="85"/>
      <c r="OY7" s="67"/>
      <c r="OZ7" s="85"/>
      <c r="PA7" s="67"/>
      <c r="PB7" s="85"/>
      <c r="PC7" s="85"/>
      <c r="PD7" s="67"/>
      <c r="PE7" s="85"/>
      <c r="PF7" s="67"/>
      <c r="PG7" s="85"/>
      <c r="PH7" s="67"/>
      <c r="PI7" s="56"/>
      <c r="PJ7" s="56"/>
      <c r="PK7" s="88"/>
      <c r="PL7" s="56"/>
      <c r="PM7" s="56"/>
      <c r="PN7" s="88"/>
      <c r="PO7" s="85"/>
      <c r="PP7" s="67"/>
      <c r="PQ7" s="58"/>
      <c r="PR7" s="303"/>
    </row>
    <row r="8" spans="1:434" s="55" customFormat="1" x14ac:dyDescent="0.45">
      <c r="A8" s="193"/>
      <c r="B8" s="44" t="s">
        <v>8</v>
      </c>
      <c r="C8"/>
      <c r="D8"/>
      <c r="E8"/>
      <c r="F8"/>
      <c r="G8"/>
      <c r="H8"/>
      <c r="I8"/>
      <c r="J8"/>
      <c r="K8"/>
      <c r="L8"/>
      <c r="M8"/>
      <c r="N8"/>
      <c r="O8"/>
      <c r="P8"/>
      <c r="Q8"/>
      <c r="R8"/>
      <c r="S8"/>
      <c r="T8"/>
      <c r="U8"/>
      <c r="V8" s="50"/>
      <c r="W8" s="50"/>
      <c r="X8" s="50"/>
      <c r="Y8" s="51"/>
      <c r="Z8" s="50"/>
      <c r="AA8" s="78"/>
      <c r="AB8" s="47"/>
      <c r="AC8" s="52"/>
      <c r="AD8" s="44" t="s">
        <v>8</v>
      </c>
      <c r="AF8" s="53"/>
      <c r="AG8" s="53"/>
      <c r="AH8" s="53"/>
      <c r="AI8" s="53"/>
      <c r="AS8" s="50"/>
      <c r="AT8" s="54"/>
      <c r="AX8" s="50"/>
      <c r="AY8" s="50"/>
      <c r="AZ8" s="50"/>
      <c r="BH8" s="50"/>
      <c r="BI8" s="50"/>
      <c r="BJ8" s="50"/>
      <c r="BK8" s="50"/>
      <c r="BL8" s="50"/>
      <c r="BM8" s="50"/>
      <c r="BN8" s="50"/>
      <c r="BO8" s="50"/>
      <c r="BP8" s="50"/>
      <c r="BQ8" s="50"/>
      <c r="BR8" s="50"/>
      <c r="BS8" s="50"/>
      <c r="BT8" s="50"/>
      <c r="BU8" s="50"/>
      <c r="BV8" s="50"/>
      <c r="BW8" s="50"/>
      <c r="BX8" s="50"/>
      <c r="BY8" s="50"/>
      <c r="BZ8" s="50"/>
      <c r="CA8" s="50"/>
      <c r="CB8" s="50"/>
      <c r="CC8" s="50"/>
      <c r="CD8" s="50"/>
      <c r="CE8" s="50"/>
      <c r="CF8" s="50"/>
      <c r="CG8" s="50"/>
      <c r="CH8" s="50"/>
      <c r="CI8" s="50"/>
      <c r="CJ8" s="50"/>
      <c r="CK8" s="50"/>
      <c r="CL8" s="50"/>
      <c r="CM8" s="50"/>
      <c r="CN8" s="50"/>
      <c r="CO8" s="50"/>
      <c r="CP8" s="50"/>
      <c r="CQ8" s="50"/>
      <c r="CR8" s="50"/>
      <c r="CS8" s="50"/>
      <c r="CT8" s="50"/>
      <c r="CU8" s="50"/>
      <c r="CV8" s="50"/>
      <c r="CW8" s="50"/>
      <c r="CX8" s="50"/>
      <c r="CY8" s="50"/>
      <c r="CZ8" s="56"/>
      <c r="DA8" s="52"/>
      <c r="DB8" s="53"/>
      <c r="DC8" s="53"/>
      <c r="DD8" s="44" t="s">
        <v>8</v>
      </c>
      <c r="DE8" s="53"/>
      <c r="DF8" s="53"/>
      <c r="DR8" s="50"/>
      <c r="DS8" s="54"/>
      <c r="DV8" s="50"/>
      <c r="DW8" s="56"/>
      <c r="DX8" s="52"/>
      <c r="DY8" s="44" t="s">
        <v>8</v>
      </c>
      <c r="DZ8" s="53"/>
      <c r="EC8" s="50"/>
      <c r="ED8" s="50"/>
      <c r="EE8" s="54"/>
      <c r="EF8" s="50"/>
      <c r="EG8" s="50"/>
      <c r="EH8" s="50"/>
      <c r="EI8" s="50"/>
      <c r="EJ8" s="47"/>
      <c r="EK8" s="416"/>
      <c r="EO8" s="52"/>
      <c r="EQ8" s="468" t="s">
        <v>1</v>
      </c>
      <c r="ER8"/>
      <c r="ES8" s="44" t="s">
        <v>8</v>
      </c>
      <c r="ET8" s="207"/>
      <c r="EU8" s="208"/>
      <c r="EV8" s="50"/>
      <c r="EW8" s="50"/>
      <c r="EX8"/>
      <c r="EY8"/>
      <c r="EZ8"/>
      <c r="FA8"/>
      <c r="FB8"/>
      <c r="FC8"/>
      <c r="FD8"/>
      <c r="FE8"/>
      <c r="FF8"/>
      <c r="FG8"/>
      <c r="FH8"/>
      <c r="FI8"/>
      <c r="FJ8"/>
      <c r="FK8"/>
      <c r="FL8"/>
      <c r="FM8"/>
      <c r="FN8"/>
      <c r="FO8"/>
      <c r="FP8"/>
      <c r="FQ8"/>
      <c r="FR8" s="1"/>
      <c r="FS8"/>
      <c r="FT8"/>
      <c r="FY8" s="50"/>
      <c r="FZ8" s="10"/>
      <c r="GA8" s="172"/>
      <c r="GB8" s="10"/>
      <c r="GC8" s="172"/>
      <c r="GD8" s="50"/>
      <c r="GE8" s="4"/>
      <c r="GF8" s="50"/>
      <c r="GG8" s="50"/>
      <c r="GH8" s="50"/>
      <c r="GI8" s="50"/>
      <c r="GJ8" s="50"/>
      <c r="GK8" s="50"/>
      <c r="GL8" s="50"/>
      <c r="GM8" s="4"/>
      <c r="GN8" s="10"/>
      <c r="GO8" s="10"/>
      <c r="GP8" s="4"/>
      <c r="GQ8" s="10"/>
      <c r="GR8" s="4"/>
      <c r="GS8" s="10"/>
      <c r="GT8" s="4"/>
      <c r="GU8" s="10"/>
      <c r="GV8" s="50"/>
      <c r="GW8" s="10"/>
      <c r="GX8" s="10"/>
      <c r="GY8" s="10"/>
      <c r="GZ8" s="50"/>
      <c r="HA8" s="51"/>
      <c r="HB8" s="50"/>
      <c r="HC8" s="50"/>
      <c r="HD8" s="47"/>
      <c r="HE8" s="52"/>
      <c r="HF8" s="44" t="s">
        <v>8</v>
      </c>
      <c r="HG8" s="53"/>
      <c r="HI8" s="54"/>
      <c r="HJ8" s="54"/>
      <c r="HK8" s="50"/>
      <c r="HL8" s="4"/>
      <c r="HM8" s="50"/>
      <c r="HN8" s="50"/>
      <c r="HP8" s="50"/>
      <c r="HQ8" s="50"/>
      <c r="HR8" s="50"/>
      <c r="HS8" s="50"/>
      <c r="HT8" s="50"/>
      <c r="HU8" s="50"/>
      <c r="HV8" s="4"/>
      <c r="HW8" s="4"/>
      <c r="HX8" s="4"/>
      <c r="HY8" s="4"/>
      <c r="HZ8" s="50"/>
      <c r="IC8" s="50"/>
      <c r="ID8" s="50"/>
      <c r="IE8" s="50"/>
      <c r="IF8" s="50"/>
      <c r="IG8" s="4"/>
      <c r="IH8" s="50"/>
      <c r="II8" s="50"/>
      <c r="IJ8" s="50"/>
      <c r="IK8" s="50"/>
      <c r="IL8" s="4"/>
      <c r="IR8" s="4"/>
      <c r="IS8" s="50"/>
      <c r="IT8" s="50"/>
      <c r="IU8" s="50"/>
      <c r="IV8" s="50"/>
      <c r="IW8" s="50"/>
      <c r="IX8" s="50"/>
      <c r="IY8" s="50"/>
      <c r="IZ8" s="50"/>
      <c r="JA8" s="50"/>
      <c r="JB8" s="50"/>
      <c r="JC8" s="50"/>
      <c r="JD8" s="50"/>
      <c r="JE8" s="50"/>
      <c r="JF8" s="50"/>
      <c r="JG8" s="50"/>
      <c r="JH8" s="50"/>
      <c r="JI8" s="50"/>
      <c r="JJ8" s="50"/>
      <c r="JK8" s="50"/>
      <c r="JL8" s="50"/>
      <c r="JM8" s="50"/>
      <c r="JN8" s="10"/>
      <c r="JO8" s="50"/>
      <c r="JP8" s="50"/>
      <c r="JQ8" s="50"/>
      <c r="JR8" s="44" t="s">
        <v>8</v>
      </c>
      <c r="JS8" s="50"/>
      <c r="JT8" s="50"/>
      <c r="JU8" s="50"/>
      <c r="JV8" s="4"/>
      <c r="JW8" s="4"/>
      <c r="JX8" s="50"/>
      <c r="JY8" s="50"/>
      <c r="JZ8" s="50"/>
      <c r="KA8" s="50"/>
      <c r="KB8" s="50"/>
      <c r="KC8" s="50"/>
      <c r="KD8" s="50"/>
      <c r="KE8" s="50"/>
      <c r="KF8" s="50"/>
      <c r="KG8" s="4"/>
      <c r="KH8" s="50"/>
      <c r="KI8" s="50"/>
      <c r="KJ8" s="50"/>
      <c r="KK8" s="50"/>
      <c r="KL8" s="50"/>
      <c r="KM8" s="50"/>
      <c r="KN8" s="4"/>
      <c r="KO8" s="50"/>
      <c r="KP8" s="50"/>
      <c r="KQ8" s="50"/>
      <c r="KR8" s="50"/>
      <c r="KS8" s="50"/>
      <c r="KT8" s="50"/>
      <c r="KU8" s="50"/>
      <c r="KV8" s="50"/>
      <c r="KW8" s="50"/>
      <c r="KX8" s="51"/>
      <c r="KY8" s="50"/>
      <c r="KZ8" s="50"/>
      <c r="LA8" s="47"/>
      <c r="LB8" s="52"/>
      <c r="LC8" s="44" t="s">
        <v>8</v>
      </c>
      <c r="LD8" s="53"/>
      <c r="LE8" s="53"/>
      <c r="LF8" s="53"/>
      <c r="LG8" s="54"/>
      <c r="LI8" s="50"/>
      <c r="LJ8" s="4"/>
      <c r="LK8" s="50"/>
      <c r="LL8" s="50"/>
      <c r="LM8" s="50"/>
      <c r="LN8" s="50"/>
      <c r="MO8" s="172"/>
      <c r="NP8" s="61"/>
      <c r="NT8" s="52"/>
      <c r="NU8" s="44" t="s">
        <v>8</v>
      </c>
      <c r="NV8" s="53"/>
      <c r="NY8" s="50"/>
      <c r="NZ8" s="50"/>
      <c r="OA8" s="54"/>
      <c r="OB8" s="50"/>
      <c r="OC8" s="50"/>
      <c r="OD8" s="50"/>
      <c r="OE8" s="50"/>
      <c r="OF8" s="47"/>
      <c r="OG8" s="52"/>
      <c r="OH8" s="44" t="s">
        <v>8</v>
      </c>
      <c r="OJ8" s="57"/>
      <c r="OK8" s="57"/>
      <c r="OL8" s="57"/>
      <c r="OM8" s="57"/>
      <c r="ON8" s="57"/>
      <c r="OO8" s="57"/>
      <c r="OQ8" s="57"/>
      <c r="OT8" s="52"/>
      <c r="OU8" s="85"/>
      <c r="OV8" s="67"/>
      <c r="OW8" s="85"/>
      <c r="OX8" s="85"/>
      <c r="OY8" s="67"/>
      <c r="OZ8" s="85"/>
      <c r="PA8" s="67"/>
      <c r="PB8" s="85"/>
      <c r="PC8" s="85"/>
      <c r="PD8" s="67"/>
      <c r="PE8" s="85"/>
      <c r="PF8" s="67"/>
      <c r="PG8" s="85"/>
      <c r="PH8" s="67"/>
      <c r="PI8" s="56"/>
      <c r="PJ8" s="56"/>
      <c r="PK8" s="88"/>
      <c r="PL8" s="56"/>
      <c r="PM8" s="56"/>
      <c r="PN8" s="88"/>
      <c r="PO8" s="85"/>
      <c r="PP8" s="67"/>
      <c r="PQ8" s="58"/>
      <c r="PR8" s="303"/>
    </row>
    <row r="9" spans="1:434" s="55" customFormat="1" ht="19" thickBot="1" x14ac:dyDescent="0.5">
      <c r="A9" s="193"/>
      <c r="B9" s="208" t="s">
        <v>9</v>
      </c>
      <c r="C9"/>
      <c r="D9"/>
      <c r="E9"/>
      <c r="F9"/>
      <c r="G9"/>
      <c r="H9"/>
      <c r="I9"/>
      <c r="J9"/>
      <c r="K9"/>
      <c r="L9"/>
      <c r="M9"/>
      <c r="N9"/>
      <c r="O9"/>
      <c r="P9"/>
      <c r="Q9"/>
      <c r="R9"/>
      <c r="S9"/>
      <c r="T9"/>
      <c r="U9"/>
      <c r="V9" s="50"/>
      <c r="W9" s="50"/>
      <c r="X9" s="50"/>
      <c r="Y9" s="51"/>
      <c r="Z9" s="50"/>
      <c r="AA9" s="78"/>
      <c r="AB9" s="47"/>
      <c r="AC9" s="52"/>
      <c r="AD9" s="208" t="s">
        <v>9</v>
      </c>
      <c r="AF9" s="53"/>
      <c r="AG9" s="53"/>
      <c r="AH9" s="53"/>
      <c r="AI9" s="53"/>
      <c r="AS9" s="50"/>
      <c r="AT9" s="54"/>
      <c r="AX9" s="50"/>
      <c r="AY9" s="50"/>
      <c r="AZ9" s="50"/>
      <c r="BH9" s="50"/>
      <c r="BI9" s="50"/>
      <c r="BJ9" s="50"/>
      <c r="BK9" s="50"/>
      <c r="BL9" s="50"/>
      <c r="BM9" s="50"/>
      <c r="BN9" s="50"/>
      <c r="BO9" s="50"/>
      <c r="BP9" s="50"/>
      <c r="BQ9" s="50"/>
      <c r="BR9" s="50"/>
      <c r="BS9" s="50"/>
      <c r="BT9" s="50"/>
      <c r="BU9" s="50"/>
      <c r="BV9" s="50"/>
      <c r="BW9" s="50"/>
      <c r="BX9" s="50"/>
      <c r="BY9" s="50"/>
      <c r="BZ9" s="50"/>
      <c r="CA9" s="50"/>
      <c r="CB9" s="50"/>
      <c r="CC9" s="50"/>
      <c r="CD9" s="50"/>
      <c r="CE9" s="50"/>
      <c r="CF9" s="50"/>
      <c r="CG9" s="50"/>
      <c r="CH9" s="50"/>
      <c r="CI9" s="50"/>
      <c r="CJ9" s="50"/>
      <c r="CK9" s="50"/>
      <c r="CL9" s="50"/>
      <c r="CM9" s="50"/>
      <c r="CN9" s="50"/>
      <c r="CO9" s="50"/>
      <c r="CP9" s="50"/>
      <c r="CQ9" s="50"/>
      <c r="CR9" s="50"/>
      <c r="CS9" s="50"/>
      <c r="CT9" s="50"/>
      <c r="CU9" s="50"/>
      <c r="CV9" s="50"/>
      <c r="CW9" s="50"/>
      <c r="CX9" s="50"/>
      <c r="CY9" s="50"/>
      <c r="CZ9" s="56"/>
      <c r="DA9" s="52"/>
      <c r="DB9" s="53"/>
      <c r="DC9" s="53"/>
      <c r="DD9" s="208" t="s">
        <v>9</v>
      </c>
      <c r="DE9" s="53"/>
      <c r="DF9" s="53"/>
      <c r="DR9" s="50"/>
      <c r="DS9" s="54"/>
      <c r="DV9" s="50"/>
      <c r="DW9" s="56"/>
      <c r="DX9" s="52"/>
      <c r="DY9" s="208" t="s">
        <v>9</v>
      </c>
      <c r="DZ9" s="53"/>
      <c r="EC9" s="50"/>
      <c r="ED9" s="50"/>
      <c r="EE9" s="54"/>
      <c r="EF9" s="50"/>
      <c r="EG9" s="50"/>
      <c r="EH9" s="50"/>
      <c r="EI9" s="50"/>
      <c r="EJ9" s="47"/>
      <c r="EK9" s="416"/>
      <c r="EO9" s="52"/>
      <c r="EQ9" s="468" t="s">
        <v>1</v>
      </c>
      <c r="ER9"/>
      <c r="ES9" s="208" t="s">
        <v>9</v>
      </c>
      <c r="ET9" s="207"/>
      <c r="EU9" s="208"/>
      <c r="EV9" s="50"/>
      <c r="EW9" s="50"/>
      <c r="EX9"/>
      <c r="EY9"/>
      <c r="EZ9"/>
      <c r="FA9"/>
      <c r="FB9"/>
      <c r="FC9"/>
      <c r="FD9"/>
      <c r="FE9"/>
      <c r="FF9"/>
      <c r="FG9"/>
      <c r="FH9"/>
      <c r="FI9"/>
      <c r="FJ9"/>
      <c r="FK9"/>
      <c r="FL9"/>
      <c r="FM9"/>
      <c r="FN9"/>
      <c r="FO9"/>
      <c r="FP9"/>
      <c r="FQ9"/>
      <c r="FR9" s="1"/>
      <c r="FS9"/>
      <c r="FT9"/>
      <c r="FY9" s="50"/>
      <c r="FZ9" s="10"/>
      <c r="GA9" s="172"/>
      <c r="GB9" s="10"/>
      <c r="GC9" s="172"/>
      <c r="GD9" s="50"/>
      <c r="GE9" s="4"/>
      <c r="GF9" s="50"/>
      <c r="GG9" s="50"/>
      <c r="GH9" s="50"/>
      <c r="GI9" s="50"/>
      <c r="GJ9" s="50"/>
      <c r="GK9" s="50"/>
      <c r="GL9" s="50"/>
      <c r="GM9" s="4"/>
      <c r="GN9" s="10"/>
      <c r="GO9" s="10"/>
      <c r="GP9" s="4"/>
      <c r="GQ9" s="10"/>
      <c r="GR9" s="4"/>
      <c r="GS9" s="10"/>
      <c r="GT9" s="4"/>
      <c r="GU9" s="10"/>
      <c r="GV9" s="50"/>
      <c r="GW9" s="10"/>
      <c r="GX9" s="10"/>
      <c r="GY9" s="10"/>
      <c r="GZ9" s="50"/>
      <c r="HA9" s="51"/>
      <c r="HB9" s="50"/>
      <c r="HC9" s="50"/>
      <c r="HD9" s="47"/>
      <c r="HE9" s="52"/>
      <c r="HF9" s="208" t="s">
        <v>9</v>
      </c>
      <c r="HG9" s="53"/>
      <c r="HI9" s="54"/>
      <c r="HJ9" s="54"/>
      <c r="HK9" s="50"/>
      <c r="HL9" s="4"/>
      <c r="HM9" s="50"/>
      <c r="HN9" s="50"/>
      <c r="HP9" s="50"/>
      <c r="HQ9" s="50"/>
      <c r="HR9" s="50"/>
      <c r="HS9" s="50"/>
      <c r="HT9" s="50"/>
      <c r="HU9" s="50"/>
      <c r="HV9" s="4"/>
      <c r="HW9" s="4"/>
      <c r="HX9" s="4"/>
      <c r="HY9" s="4"/>
      <c r="HZ9" s="50"/>
      <c r="IC9" s="50"/>
      <c r="ID9" s="50"/>
      <c r="IE9" s="50"/>
      <c r="IF9" s="50"/>
      <c r="IG9" s="4"/>
      <c r="IH9" s="50"/>
      <c r="II9" s="50"/>
      <c r="IJ9" s="50"/>
      <c r="IK9" s="50"/>
      <c r="IL9" s="4"/>
      <c r="IR9" s="4"/>
      <c r="IS9" s="50"/>
      <c r="IT9" s="50"/>
      <c r="IU9" s="50"/>
      <c r="IV9" s="50"/>
      <c r="IW9" s="50"/>
      <c r="IX9" s="50"/>
      <c r="IY9" s="50"/>
      <c r="IZ9" s="50"/>
      <c r="JA9" s="50"/>
      <c r="JB9" s="50"/>
      <c r="JC9" s="50"/>
      <c r="JD9" s="50"/>
      <c r="JE9" s="50"/>
      <c r="JF9" s="50"/>
      <c r="JG9" s="50"/>
      <c r="JH9" s="50"/>
      <c r="JI9" s="50"/>
      <c r="JJ9" s="50"/>
      <c r="JK9" s="50"/>
      <c r="JL9" s="50"/>
      <c r="JM9" s="50"/>
      <c r="JN9" s="10"/>
      <c r="JO9" s="50"/>
      <c r="JP9" s="50"/>
      <c r="JQ9" s="50"/>
      <c r="JR9" s="208" t="s">
        <v>9</v>
      </c>
      <c r="JS9" s="50"/>
      <c r="JT9" s="50"/>
      <c r="JU9" s="50"/>
      <c r="JV9" s="4"/>
      <c r="JW9" s="4"/>
      <c r="JX9" s="50"/>
      <c r="JY9" s="50"/>
      <c r="JZ9" s="50"/>
      <c r="KA9" s="50"/>
      <c r="KB9" s="50"/>
      <c r="KC9" s="50"/>
      <c r="KD9" s="50"/>
      <c r="KE9" s="50"/>
      <c r="KF9" s="50"/>
      <c r="KG9" s="4"/>
      <c r="KH9" s="50"/>
      <c r="KI9" s="50"/>
      <c r="KJ9" s="50"/>
      <c r="KK9" s="50"/>
      <c r="KL9" s="50"/>
      <c r="KM9" s="50"/>
      <c r="KN9" s="4"/>
      <c r="KO9" s="50"/>
      <c r="KP9" s="50"/>
      <c r="KQ9" s="50"/>
      <c r="KR9" s="50"/>
      <c r="KS9" s="50"/>
      <c r="KT9" s="50"/>
      <c r="KU9" s="50"/>
      <c r="KV9" s="50"/>
      <c r="KW9" s="50"/>
      <c r="KX9" s="51"/>
      <c r="KY9" s="50"/>
      <c r="KZ9" s="50"/>
      <c r="LA9" s="47"/>
      <c r="LB9" s="52"/>
      <c r="LC9" s="208" t="s">
        <v>9</v>
      </c>
      <c r="LD9" s="53"/>
      <c r="LE9" s="53"/>
      <c r="LF9" s="53"/>
      <c r="LG9" s="54"/>
      <c r="LI9" s="50"/>
      <c r="LJ9" s="4"/>
      <c r="LK9" s="50"/>
      <c r="LL9" s="50"/>
      <c r="LM9" s="50"/>
      <c r="LN9" s="50"/>
      <c r="MO9" s="172"/>
      <c r="NP9" s="61"/>
      <c r="NT9" s="52"/>
      <c r="NU9" s="208" t="s">
        <v>9</v>
      </c>
      <c r="NV9" s="53"/>
      <c r="NY9" s="50"/>
      <c r="NZ9" s="50"/>
      <c r="OA9" s="54"/>
      <c r="OB9" s="50"/>
      <c r="OC9" s="50"/>
      <c r="OD9" s="50"/>
      <c r="OE9" s="50"/>
      <c r="OF9" s="47"/>
      <c r="OG9" s="52"/>
      <c r="OH9" s="208" t="s">
        <v>9</v>
      </c>
      <c r="OJ9" s="57"/>
      <c r="OK9" s="57"/>
      <c r="OL9" s="57"/>
      <c r="OM9" s="57"/>
      <c r="ON9" s="57"/>
      <c r="OO9" s="57"/>
      <c r="OQ9" s="57"/>
      <c r="OT9" s="52"/>
      <c r="OU9" s="85"/>
      <c r="OV9" s="67"/>
      <c r="OW9" s="85"/>
      <c r="OX9" s="85"/>
      <c r="OY9" s="67"/>
      <c r="OZ9" s="85"/>
      <c r="PA9" s="67"/>
      <c r="PB9" s="85"/>
      <c r="PC9" s="85"/>
      <c r="PD9" s="67"/>
      <c r="PE9" s="85"/>
      <c r="PF9" s="67"/>
      <c r="PG9" s="85"/>
      <c r="PH9" s="67"/>
      <c r="PI9" s="56"/>
      <c r="PJ9" s="56"/>
      <c r="PK9" s="88"/>
      <c r="PL9" s="56"/>
      <c r="PM9" s="56"/>
      <c r="PN9" s="88"/>
      <c r="PO9" s="85"/>
      <c r="PP9" s="67"/>
      <c r="PQ9" s="58"/>
      <c r="PR9" s="303"/>
    </row>
    <row r="10" spans="1:434" s="158" customFormat="1" ht="24.65" customHeight="1" x14ac:dyDescent="0.6">
      <c r="A10" s="214"/>
      <c r="B10" s="575" t="s">
        <v>10</v>
      </c>
      <c r="C10" s="575"/>
      <c r="D10" s="575"/>
      <c r="E10" s="575"/>
      <c r="F10" s="575"/>
      <c r="G10" s="575"/>
      <c r="H10" s="575"/>
      <c r="I10" s="575"/>
      <c r="J10" s="575"/>
      <c r="K10" s="575"/>
      <c r="L10" s="575"/>
      <c r="M10" s="575"/>
      <c r="N10" s="575"/>
      <c r="O10" s="575"/>
      <c r="P10" s="575"/>
      <c r="Q10" s="575"/>
      <c r="R10" s="575"/>
      <c r="S10" s="575"/>
      <c r="T10" s="575"/>
      <c r="U10" s="575"/>
      <c r="V10" s="575"/>
      <c r="W10" s="575"/>
      <c r="X10" s="575"/>
      <c r="Y10" s="575"/>
      <c r="Z10" s="575"/>
      <c r="AA10" s="575"/>
      <c r="AB10" s="575"/>
      <c r="AC10" s="153"/>
      <c r="AD10" s="575" t="s">
        <v>11</v>
      </c>
      <c r="AE10" s="575"/>
      <c r="AF10" s="575"/>
      <c r="AG10" s="575"/>
      <c r="AH10" s="575"/>
      <c r="AI10" s="575"/>
      <c r="AJ10" s="575"/>
      <c r="AK10" s="575"/>
      <c r="AL10" s="575"/>
      <c r="AM10" s="575"/>
      <c r="AN10" s="575"/>
      <c r="AO10" s="575"/>
      <c r="AP10" s="575"/>
      <c r="AQ10" s="575"/>
      <c r="AR10" s="575"/>
      <c r="AS10" s="575"/>
      <c r="AT10" s="575"/>
      <c r="AU10" s="575"/>
      <c r="AV10" s="575"/>
      <c r="AW10" s="575"/>
      <c r="AX10" s="575"/>
      <c r="AY10" s="575"/>
      <c r="AZ10" s="575"/>
      <c r="BA10" s="575"/>
      <c r="BB10" s="575"/>
      <c r="BC10" s="575"/>
      <c r="BD10" s="575"/>
      <c r="BE10" s="575"/>
      <c r="BF10" s="575"/>
      <c r="BG10" s="575"/>
      <c r="BH10" s="575"/>
      <c r="BI10" s="575"/>
      <c r="BJ10" s="575"/>
      <c r="BK10" s="575"/>
      <c r="BL10" s="575"/>
      <c r="BM10" s="575"/>
      <c r="BN10" s="575"/>
      <c r="BO10" s="575"/>
      <c r="BP10" s="575"/>
      <c r="BQ10" s="575"/>
      <c r="BR10" s="575"/>
      <c r="BS10" s="575"/>
      <c r="BT10" s="575"/>
      <c r="BU10" s="575"/>
      <c r="BV10" s="575"/>
      <c r="BW10" s="575"/>
      <c r="BX10" s="575"/>
      <c r="BY10" s="575"/>
      <c r="BZ10" s="575"/>
      <c r="CA10" s="575"/>
      <c r="CB10" s="575"/>
      <c r="CC10" s="575"/>
      <c r="CD10" s="575"/>
      <c r="CE10" s="575"/>
      <c r="CF10" s="575"/>
      <c r="CG10" s="575"/>
      <c r="CH10" s="575"/>
      <c r="CI10" s="575"/>
      <c r="CJ10" s="575"/>
      <c r="CK10" s="575"/>
      <c r="CL10" s="575"/>
      <c r="CM10" s="575"/>
      <c r="CN10" s="575"/>
      <c r="CO10" s="575"/>
      <c r="CP10" s="575"/>
      <c r="CQ10" s="575"/>
      <c r="CR10" s="575"/>
      <c r="CS10" s="575"/>
      <c r="CT10" s="575"/>
      <c r="CU10" s="575"/>
      <c r="CV10" s="575"/>
      <c r="CW10" s="575"/>
      <c r="CX10" s="575"/>
      <c r="CY10" s="575"/>
      <c r="CZ10" s="575"/>
      <c r="DA10" s="153"/>
      <c r="DB10" s="575" t="s">
        <v>12</v>
      </c>
      <c r="DC10" s="575"/>
      <c r="DD10" s="575"/>
      <c r="DE10" s="575"/>
      <c r="DF10" s="575"/>
      <c r="DG10" s="575"/>
      <c r="DH10" s="575"/>
      <c r="DI10" s="575"/>
      <c r="DJ10" s="575"/>
      <c r="DK10" s="575"/>
      <c r="DL10" s="575"/>
      <c r="DM10" s="575"/>
      <c r="DN10" s="575"/>
      <c r="DO10" s="575"/>
      <c r="DP10" s="575"/>
      <c r="DQ10" s="575"/>
      <c r="DR10" s="575"/>
      <c r="DS10" s="575"/>
      <c r="DT10" s="575"/>
      <c r="DU10" s="575"/>
      <c r="DV10" s="575"/>
      <c r="DW10" s="575"/>
      <c r="DX10" s="153"/>
      <c r="DY10" s="575" t="s">
        <v>13</v>
      </c>
      <c r="DZ10" s="575"/>
      <c r="EA10" s="575"/>
      <c r="EB10" s="575"/>
      <c r="EC10" s="575"/>
      <c r="ED10" s="575"/>
      <c r="EE10" s="575"/>
      <c r="EF10" s="575"/>
      <c r="EG10" s="575"/>
      <c r="EH10" s="575"/>
      <c r="EI10" s="575"/>
      <c r="EJ10" s="575"/>
      <c r="EK10" s="153"/>
      <c r="EL10" s="409"/>
      <c r="EM10" s="409"/>
      <c r="EN10" s="413"/>
      <c r="EO10" s="153"/>
      <c r="EP10" s="409"/>
      <c r="EQ10" s="468" t="s">
        <v>1</v>
      </c>
      <c r="ER10"/>
      <c r="ES10" s="575" t="s">
        <v>14</v>
      </c>
      <c r="ET10" s="575"/>
      <c r="EU10" s="575"/>
      <c r="EV10" s="575"/>
      <c r="EW10" s="575"/>
      <c r="EX10" s="575"/>
      <c r="EY10" s="575"/>
      <c r="EZ10" s="575"/>
      <c r="FA10" s="575"/>
      <c r="FB10" s="575"/>
      <c r="FC10" s="575"/>
      <c r="FD10" s="575"/>
      <c r="FE10" s="575"/>
      <c r="FF10" s="575"/>
      <c r="FG10" s="575"/>
      <c r="FH10" s="575"/>
      <c r="FI10" s="575"/>
      <c r="FJ10" s="575"/>
      <c r="FK10" s="575"/>
      <c r="FL10" s="575"/>
      <c r="FM10" s="575"/>
      <c r="FN10" s="575"/>
      <c r="FO10" s="575"/>
      <c r="FP10" s="575"/>
      <c r="FQ10" s="575"/>
      <c r="FR10" s="575"/>
      <c r="FS10" s="575"/>
      <c r="FT10" s="575"/>
      <c r="FU10" s="575"/>
      <c r="FV10" s="575"/>
      <c r="FW10" s="575"/>
      <c r="FX10" s="575"/>
      <c r="FY10" s="575"/>
      <c r="FZ10" s="575"/>
      <c r="GA10" s="575"/>
      <c r="GB10" s="575"/>
      <c r="GC10" s="575"/>
      <c r="GD10" s="575"/>
      <c r="GE10" s="575"/>
      <c r="GF10" s="575"/>
      <c r="GG10" s="575"/>
      <c r="GH10" s="575"/>
      <c r="GI10" s="575"/>
      <c r="GJ10" s="575"/>
      <c r="GK10" s="575"/>
      <c r="GL10" s="575"/>
      <c r="GM10" s="575"/>
      <c r="GN10" s="575"/>
      <c r="GO10" s="575"/>
      <c r="GP10" s="575"/>
      <c r="GQ10" s="575"/>
      <c r="GR10" s="575"/>
      <c r="GS10" s="575"/>
      <c r="GT10" s="575"/>
      <c r="GU10" s="575"/>
      <c r="GV10" s="575"/>
      <c r="GW10" s="575"/>
      <c r="GX10" s="575"/>
      <c r="GY10" s="575"/>
      <c r="GZ10" s="575"/>
      <c r="HA10" s="575"/>
      <c r="HB10" s="575"/>
      <c r="HC10" s="575"/>
      <c r="HD10" s="575"/>
      <c r="HE10" s="153"/>
      <c r="HF10" s="575" t="s">
        <v>15</v>
      </c>
      <c r="HG10" s="575"/>
      <c r="HH10" s="575"/>
      <c r="HI10" s="575"/>
      <c r="HJ10" s="575"/>
      <c r="HK10" s="575"/>
      <c r="HL10" s="575"/>
      <c r="HM10" s="575"/>
      <c r="HN10" s="575"/>
      <c r="HO10" s="575"/>
      <c r="HP10" s="575"/>
      <c r="HQ10" s="575"/>
      <c r="HR10" s="575"/>
      <c r="HS10" s="575"/>
      <c r="HT10" s="575"/>
      <c r="HU10" s="575"/>
      <c r="HV10" s="575"/>
      <c r="HW10" s="575"/>
      <c r="HX10" s="575"/>
      <c r="HY10" s="575"/>
      <c r="HZ10" s="575"/>
      <c r="IA10" s="575"/>
      <c r="IB10" s="575"/>
      <c r="IC10" s="575"/>
      <c r="ID10" s="575"/>
      <c r="IE10" s="575"/>
      <c r="IF10" s="575"/>
      <c r="IG10" s="575"/>
      <c r="IH10" s="575"/>
      <c r="II10" s="575"/>
      <c r="IJ10" s="575"/>
      <c r="IK10" s="575"/>
      <c r="IL10" s="575"/>
      <c r="IM10" s="575"/>
      <c r="IN10" s="575"/>
      <c r="IO10" s="575"/>
      <c r="IP10" s="575"/>
      <c r="IQ10" s="575"/>
      <c r="IR10" s="575"/>
      <c r="IS10" s="575"/>
      <c r="IT10" s="575"/>
      <c r="IU10" s="575"/>
      <c r="IV10" s="575"/>
      <c r="IW10" s="575"/>
      <c r="IX10" s="575"/>
      <c r="IY10" s="575"/>
      <c r="IZ10" s="575"/>
      <c r="JA10" s="575"/>
      <c r="JB10" s="575"/>
      <c r="JC10" s="575"/>
      <c r="JD10" s="575"/>
      <c r="JE10" s="575"/>
      <c r="JF10" s="575"/>
      <c r="JG10" s="575"/>
      <c r="JH10" s="575"/>
      <c r="JI10" s="575"/>
      <c r="JJ10" s="575"/>
      <c r="JK10" s="575"/>
      <c r="JL10" s="575"/>
      <c r="JM10" s="575"/>
      <c r="JN10" s="575"/>
      <c r="JO10" s="575"/>
      <c r="JP10" s="575"/>
      <c r="JQ10" s="575"/>
      <c r="JR10" s="575"/>
      <c r="JS10" s="575"/>
      <c r="JT10" s="575"/>
      <c r="JU10" s="575"/>
      <c r="JV10" s="575"/>
      <c r="JW10" s="575"/>
      <c r="JX10" s="575"/>
      <c r="JY10" s="575"/>
      <c r="JZ10" s="575"/>
      <c r="KA10" s="575"/>
      <c r="KB10" s="575"/>
      <c r="KC10" s="575"/>
      <c r="KD10" s="575"/>
      <c r="KE10" s="575"/>
      <c r="KF10" s="575"/>
      <c r="KG10" s="575"/>
      <c r="KH10" s="575"/>
      <c r="KI10" s="575"/>
      <c r="KJ10" s="575"/>
      <c r="KK10" s="575"/>
      <c r="KL10" s="575"/>
      <c r="KM10" s="575"/>
      <c r="KN10" s="575"/>
      <c r="KO10" s="575"/>
      <c r="KP10" s="575"/>
      <c r="KQ10" s="575"/>
      <c r="KR10" s="575"/>
      <c r="KS10" s="575"/>
      <c r="KT10" s="575"/>
      <c r="KU10" s="575"/>
      <c r="KV10" s="575"/>
      <c r="KW10" s="575"/>
      <c r="KX10" s="575"/>
      <c r="KY10" s="575"/>
      <c r="KZ10" s="575"/>
      <c r="LA10" s="575"/>
      <c r="LB10" s="153"/>
      <c r="LC10" s="575" t="s">
        <v>16</v>
      </c>
      <c r="LD10" s="575"/>
      <c r="LE10" s="575"/>
      <c r="LF10" s="575"/>
      <c r="LG10" s="575"/>
      <c r="LH10" s="575"/>
      <c r="LI10" s="575"/>
      <c r="LJ10" s="575"/>
      <c r="LK10" s="575"/>
      <c r="LL10" s="575"/>
      <c r="LM10" s="575"/>
      <c r="LN10" s="575"/>
      <c r="LO10" s="575"/>
      <c r="LP10" s="575"/>
      <c r="LQ10" s="575"/>
      <c r="LR10" s="575"/>
      <c r="LS10" s="575"/>
      <c r="LT10" s="575"/>
      <c r="LU10" s="575"/>
      <c r="LV10" s="575"/>
      <c r="LW10" s="575"/>
      <c r="LX10" s="575"/>
      <c r="LY10" s="575"/>
      <c r="LZ10" s="575"/>
      <c r="MA10" s="575"/>
      <c r="MB10" s="575"/>
      <c r="MC10" s="575"/>
      <c r="MD10" s="575"/>
      <c r="ME10" s="575"/>
      <c r="MF10" s="575"/>
      <c r="MG10" s="575"/>
      <c r="MH10" s="575"/>
      <c r="MI10" s="575"/>
      <c r="MJ10" s="575"/>
      <c r="MK10" s="575"/>
      <c r="ML10" s="575"/>
      <c r="MM10" s="575"/>
      <c r="MN10" s="575"/>
      <c r="MO10" s="575"/>
      <c r="MP10" s="575"/>
      <c r="MQ10" s="575"/>
      <c r="MR10" s="575"/>
      <c r="MS10" s="575"/>
      <c r="MT10" s="575"/>
      <c r="MU10" s="575"/>
      <c r="MV10" s="575"/>
      <c r="MW10" s="575"/>
      <c r="MX10" s="575"/>
      <c r="MY10" s="575"/>
      <c r="MZ10" s="575"/>
      <c r="NA10" s="575"/>
      <c r="NB10" s="575"/>
      <c r="NC10" s="575"/>
      <c r="ND10" s="575"/>
      <c r="NE10" s="575"/>
      <c r="NF10" s="575"/>
      <c r="NG10" s="575"/>
      <c r="NH10" s="575"/>
      <c r="NI10" s="575"/>
      <c r="NJ10" s="575"/>
      <c r="NK10" s="575"/>
      <c r="NL10" s="575"/>
      <c r="NM10" s="575"/>
      <c r="NN10" s="575"/>
      <c r="NO10" s="575"/>
      <c r="NP10" s="575"/>
      <c r="NQ10" s="575"/>
      <c r="NR10" s="575"/>
      <c r="NS10" s="575"/>
      <c r="NT10" s="153"/>
      <c r="NU10" s="575" t="s">
        <v>17</v>
      </c>
      <c r="NV10" s="575"/>
      <c r="NW10" s="575"/>
      <c r="NX10" s="575"/>
      <c r="NY10" s="575"/>
      <c r="NZ10" s="575"/>
      <c r="OA10" s="575"/>
      <c r="OB10" s="575"/>
      <c r="OC10" s="575"/>
      <c r="OD10" s="575"/>
      <c r="OE10" s="575"/>
      <c r="OF10" s="575"/>
      <c r="OG10" s="153"/>
      <c r="OH10" s="575" t="s">
        <v>18</v>
      </c>
      <c r="OI10" s="575"/>
      <c r="OJ10" s="575"/>
      <c r="OK10" s="575"/>
      <c r="OL10" s="575"/>
      <c r="OM10" s="575"/>
      <c r="ON10" s="575"/>
      <c r="OO10" s="575"/>
      <c r="OP10" s="575"/>
      <c r="OQ10" s="575"/>
      <c r="OR10" s="575"/>
      <c r="OS10" s="575"/>
      <c r="OT10" s="154"/>
      <c r="OU10" s="583" t="s">
        <v>19</v>
      </c>
      <c r="OV10" s="580"/>
      <c r="OW10" s="155"/>
      <c r="OX10" s="155"/>
      <c r="OY10" s="155"/>
      <c r="OZ10" s="567" t="s">
        <v>20</v>
      </c>
      <c r="PA10" s="568"/>
      <c r="PB10" s="155"/>
      <c r="PC10" s="155"/>
      <c r="PD10" s="156"/>
      <c r="PE10" s="567" t="s">
        <v>21</v>
      </c>
      <c r="PF10" s="568"/>
      <c r="PG10" s="567" t="s">
        <v>22</v>
      </c>
      <c r="PH10" s="568"/>
      <c r="PI10" s="567" t="s">
        <v>23</v>
      </c>
      <c r="PJ10" s="580"/>
      <c r="PK10" s="568"/>
      <c r="PL10" s="155"/>
      <c r="PM10" s="155"/>
      <c r="PN10" s="156"/>
      <c r="PO10" s="573" t="s">
        <v>23</v>
      </c>
      <c r="PP10" s="574"/>
      <c r="PQ10" s="157"/>
      <c r="PR10" s="304"/>
    </row>
    <row r="11" spans="1:434" s="226" customFormat="1" ht="24.65" customHeight="1" x14ac:dyDescent="0.45">
      <c r="A11"/>
      <c r="B11" s="223"/>
      <c r="C11" s="223"/>
      <c r="D11" s="223"/>
      <c r="E11" s="223"/>
      <c r="F11" s="223"/>
      <c r="G11" s="223"/>
      <c r="H11" s="223"/>
      <c r="I11" s="223"/>
      <c r="J11" s="223"/>
      <c r="K11" s="223"/>
      <c r="L11" s="223"/>
      <c r="M11" s="223"/>
      <c r="N11" s="223"/>
      <c r="O11" s="223"/>
      <c r="P11" s="223"/>
      <c r="Q11" s="223"/>
      <c r="R11" s="223"/>
      <c r="S11" s="223"/>
      <c r="T11" s="223"/>
      <c r="U11" s="223"/>
      <c r="V11" s="223"/>
      <c r="W11" s="223"/>
      <c r="X11" s="223"/>
      <c r="Y11" s="223"/>
      <c r="Z11" s="223"/>
      <c r="AA11" s="223"/>
      <c r="AB11" s="223"/>
      <c r="AC11" s="224"/>
      <c r="AD11" s="223"/>
      <c r="AE11" s="223"/>
      <c r="AF11" s="223"/>
      <c r="AG11" s="223"/>
      <c r="AH11" s="223"/>
      <c r="AI11" s="223"/>
      <c r="AJ11" s="223"/>
      <c r="AK11" s="223"/>
      <c r="AL11" s="223"/>
      <c r="AM11" s="223"/>
      <c r="AN11" s="223"/>
      <c r="AO11" s="223"/>
      <c r="AP11" s="223"/>
      <c r="AQ11" s="223"/>
      <c r="AR11" s="223"/>
      <c r="AS11" s="223"/>
      <c r="AT11" s="223"/>
      <c r="AU11" s="223"/>
      <c r="AV11" s="223"/>
      <c r="AW11" s="223"/>
      <c r="AX11" s="223"/>
      <c r="AY11" s="223"/>
      <c r="AZ11" s="223"/>
      <c r="BA11" s="223"/>
      <c r="BB11" s="223"/>
      <c r="BC11" s="223"/>
      <c r="BD11" s="223"/>
      <c r="BE11" s="223"/>
      <c r="BF11" s="223"/>
      <c r="BG11" s="223"/>
      <c r="BH11" s="223"/>
      <c r="BI11" s="223"/>
      <c r="BJ11" s="223"/>
      <c r="BK11" s="223"/>
      <c r="BL11" s="223"/>
      <c r="BM11" s="223"/>
      <c r="BN11" s="223"/>
      <c r="BO11" s="223"/>
      <c r="BP11" s="223"/>
      <c r="BQ11" s="223"/>
      <c r="BR11" s="223"/>
      <c r="BS11" s="223"/>
      <c r="BT11" s="223"/>
      <c r="BU11" s="223"/>
      <c r="BV11" s="223"/>
      <c r="BW11" s="223"/>
      <c r="BX11" s="223"/>
      <c r="BY11" s="223"/>
      <c r="BZ11" s="223"/>
      <c r="CA11" s="223"/>
      <c r="CB11" s="223"/>
      <c r="CC11" s="223"/>
      <c r="CD11" s="223"/>
      <c r="CE11" s="223"/>
      <c r="CF11" s="223"/>
      <c r="CG11" s="223"/>
      <c r="CH11" s="223"/>
      <c r="CI11" s="223"/>
      <c r="CJ11" s="223"/>
      <c r="CK11" s="223"/>
      <c r="CL11" s="223"/>
      <c r="CM11" s="223"/>
      <c r="CN11" s="223"/>
      <c r="CO11" s="223"/>
      <c r="CP11" s="223"/>
      <c r="CQ11" s="223"/>
      <c r="CR11" s="223"/>
      <c r="CS11" s="223"/>
      <c r="CT11" s="223"/>
      <c r="CU11" s="223"/>
      <c r="CV11" s="223"/>
      <c r="CW11" s="223"/>
      <c r="CX11" s="223"/>
      <c r="CY11" s="223"/>
      <c r="CZ11" s="223"/>
      <c r="DA11" s="224"/>
      <c r="DX11" s="224"/>
      <c r="DY11" s="223"/>
      <c r="DZ11" s="223"/>
      <c r="EA11" s="223"/>
      <c r="EB11" s="223"/>
      <c r="EC11" s="223"/>
      <c r="ED11" s="223"/>
      <c r="EE11" s="223"/>
      <c r="EF11" s="223"/>
      <c r="EG11" s="223"/>
      <c r="EH11" s="223"/>
      <c r="EI11" s="223"/>
      <c r="EJ11" s="223"/>
      <c r="EK11" s="224"/>
      <c r="EN11" s="414"/>
      <c r="EO11" s="224"/>
      <c r="EQ11" s="468" t="s">
        <v>1</v>
      </c>
      <c r="ER11"/>
      <c r="ES11" s="223"/>
      <c r="ET11" s="223"/>
      <c r="EU11" s="223"/>
      <c r="EV11" s="223"/>
      <c r="EW11" s="223"/>
      <c r="EX11" s="223"/>
      <c r="EY11" s="223"/>
      <c r="EZ11" s="223"/>
      <c r="FA11" s="223"/>
      <c r="FB11" s="223"/>
      <c r="FC11" s="223"/>
      <c r="FD11" s="223"/>
      <c r="FE11" s="223"/>
      <c r="FF11" s="223"/>
      <c r="FG11" s="223"/>
      <c r="FH11" s="223"/>
      <c r="FI11" s="223"/>
      <c r="FJ11" s="223"/>
      <c r="FK11" s="223"/>
      <c r="FL11" s="223"/>
      <c r="FM11" s="223"/>
      <c r="FN11" s="223"/>
      <c r="FO11" s="223"/>
      <c r="FP11" s="223"/>
      <c r="FQ11" s="223"/>
      <c r="FR11" s="223">
        <v>45869</v>
      </c>
      <c r="FS11" s="223"/>
      <c r="FT11" s="223">
        <v>45852</v>
      </c>
      <c r="FU11" s="223">
        <v>45838</v>
      </c>
      <c r="FV11" s="223"/>
      <c r="FW11" s="223">
        <v>45806</v>
      </c>
      <c r="FX11" s="223"/>
      <c r="FY11" s="223"/>
      <c r="FZ11" s="223"/>
      <c r="GA11" s="223"/>
      <c r="GB11" s="223"/>
      <c r="GC11" s="223"/>
      <c r="GD11" s="223"/>
      <c r="GE11" s="223"/>
      <c r="GF11" s="223"/>
      <c r="GG11" s="223">
        <v>45852</v>
      </c>
      <c r="GH11" s="223"/>
      <c r="GI11" s="223"/>
      <c r="GJ11" s="223"/>
      <c r="GK11" s="223"/>
      <c r="GL11" s="223"/>
      <c r="GM11" s="223"/>
      <c r="GN11" s="223"/>
      <c r="GO11" s="223"/>
      <c r="GP11" s="223"/>
      <c r="GQ11" s="223"/>
      <c r="GR11" s="223"/>
      <c r="GS11" s="223"/>
      <c r="GT11" s="223"/>
      <c r="GU11" s="223"/>
      <c r="GV11" s="223"/>
      <c r="GW11" s="223"/>
      <c r="GX11" s="223"/>
      <c r="GY11" s="223"/>
      <c r="GZ11" s="223"/>
      <c r="HA11" s="223"/>
      <c r="HB11" s="223"/>
      <c r="HC11" s="223"/>
      <c r="HD11" s="223"/>
      <c r="HE11" s="224"/>
      <c r="HF11" s="223"/>
      <c r="HG11" s="223"/>
      <c r="HH11" s="223"/>
      <c r="HI11" s="223"/>
      <c r="HJ11" s="223">
        <v>45819</v>
      </c>
      <c r="HK11" s="223"/>
      <c r="HL11" s="223"/>
      <c r="HM11" s="223"/>
      <c r="HN11" s="223"/>
      <c r="HO11" s="223"/>
      <c r="HP11" s="223"/>
      <c r="HQ11" s="223"/>
      <c r="HR11" s="223"/>
      <c r="HS11" s="223"/>
      <c r="HT11" s="223"/>
      <c r="HU11" s="223">
        <v>45796</v>
      </c>
      <c r="HV11" s="223"/>
      <c r="HW11" s="223"/>
      <c r="HX11" s="223">
        <v>45852</v>
      </c>
      <c r="HY11" s="225">
        <v>45796</v>
      </c>
      <c r="HZ11" s="223"/>
      <c r="IA11" s="223"/>
      <c r="IB11" s="222">
        <v>45761</v>
      </c>
      <c r="IC11" s="223"/>
      <c r="ID11" s="223"/>
      <c r="IE11" s="223"/>
      <c r="IF11" s="223"/>
      <c r="IG11" s="223"/>
      <c r="IH11" s="223"/>
      <c r="II11" s="223">
        <v>45796</v>
      </c>
      <c r="IJ11" s="223"/>
      <c r="IK11" s="223">
        <v>45812</v>
      </c>
      <c r="IL11" s="223"/>
      <c r="IM11" s="223">
        <v>45796</v>
      </c>
      <c r="IN11" s="223">
        <v>45852</v>
      </c>
      <c r="IO11" s="223"/>
      <c r="IP11" s="223"/>
      <c r="IQ11" s="223"/>
      <c r="IR11" s="223">
        <v>45796</v>
      </c>
      <c r="IS11" s="223">
        <v>45796</v>
      </c>
      <c r="IT11" s="223"/>
      <c r="IU11" s="223"/>
      <c r="IV11" s="223">
        <v>45761</v>
      </c>
      <c r="IW11" s="223"/>
      <c r="IX11" s="223"/>
      <c r="IY11" s="223"/>
      <c r="IZ11" s="223"/>
      <c r="JA11" s="223">
        <v>45796</v>
      </c>
      <c r="JB11" s="223"/>
      <c r="JC11" s="223"/>
      <c r="JD11" s="223"/>
      <c r="JE11" s="223"/>
      <c r="JF11" s="223"/>
      <c r="JG11" s="223"/>
      <c r="JH11" s="223"/>
      <c r="JI11" s="223"/>
      <c r="JJ11" s="223">
        <v>45819</v>
      </c>
      <c r="JK11" s="223"/>
      <c r="JL11" s="223"/>
      <c r="JM11" s="223"/>
      <c r="JN11" s="223"/>
      <c r="JO11" s="223"/>
      <c r="JP11" s="223"/>
      <c r="JQ11" s="223"/>
      <c r="JR11" s="223">
        <v>45819</v>
      </c>
      <c r="JS11" s="223"/>
      <c r="JT11" s="223"/>
      <c r="JU11" s="223"/>
      <c r="JV11" s="223"/>
      <c r="JW11" s="223">
        <v>45796</v>
      </c>
      <c r="JX11" s="223">
        <v>45796</v>
      </c>
      <c r="JY11" s="223">
        <v>45812</v>
      </c>
      <c r="JZ11" s="223"/>
      <c r="KA11" s="223"/>
      <c r="KB11" s="223"/>
      <c r="KC11" s="223">
        <v>45819</v>
      </c>
      <c r="KD11" s="223"/>
      <c r="KE11" s="223"/>
      <c r="KF11" s="223"/>
      <c r="KG11" s="223"/>
      <c r="KH11" s="223"/>
      <c r="KI11" s="223">
        <v>45812</v>
      </c>
      <c r="KJ11" s="223"/>
      <c r="KK11" s="223"/>
      <c r="KL11" s="225">
        <v>45796</v>
      </c>
      <c r="KM11" s="223"/>
      <c r="KN11" s="223"/>
      <c r="KO11" s="223"/>
      <c r="KP11" s="223"/>
      <c r="KQ11" s="223"/>
      <c r="KR11" s="223"/>
      <c r="KS11" s="223"/>
      <c r="KT11" s="223"/>
      <c r="KU11" s="223"/>
      <c r="KV11" s="223"/>
      <c r="KW11" s="223"/>
      <c r="KX11" s="223"/>
      <c r="KY11" s="223"/>
      <c r="KZ11" s="223"/>
      <c r="LA11" s="223"/>
      <c r="LB11" s="224"/>
      <c r="LC11" s="223"/>
      <c r="LD11" s="223"/>
      <c r="LE11" s="223"/>
      <c r="LF11" s="223"/>
      <c r="LG11" s="223"/>
      <c r="LH11" s="223"/>
      <c r="LI11" s="223"/>
      <c r="LJ11" s="223"/>
      <c r="LK11" s="223"/>
      <c r="LL11" s="223"/>
      <c r="LM11" s="223"/>
      <c r="LN11" s="223"/>
      <c r="LO11" s="223"/>
      <c r="LP11" s="223"/>
      <c r="LQ11" s="223"/>
      <c r="LR11" s="223"/>
      <c r="LS11" s="223"/>
      <c r="LT11" s="223"/>
      <c r="LU11" s="223"/>
      <c r="LV11" s="223"/>
      <c r="LW11" s="223"/>
      <c r="LX11" s="223"/>
      <c r="LY11" s="223"/>
      <c r="LZ11" s="223"/>
      <c r="MA11" s="223"/>
      <c r="MB11" s="223"/>
      <c r="MC11" s="223"/>
      <c r="MD11" s="223"/>
      <c r="ME11" s="223"/>
      <c r="MF11" s="223"/>
      <c r="MG11" s="225"/>
      <c r="MH11" s="223"/>
      <c r="MI11" s="223"/>
      <c r="MJ11" s="223"/>
      <c r="MK11" s="223"/>
      <c r="ML11" s="223"/>
      <c r="MM11" s="223">
        <v>45796</v>
      </c>
      <c r="MN11" s="223"/>
      <c r="MO11" s="223"/>
      <c r="MP11" s="223"/>
      <c r="MQ11" s="223">
        <v>45796</v>
      </c>
      <c r="MR11" s="223"/>
      <c r="MS11" s="223"/>
      <c r="MT11" s="223"/>
      <c r="MU11" s="223"/>
      <c r="MV11" s="223"/>
      <c r="MW11" s="223"/>
      <c r="MX11" s="223"/>
      <c r="MY11" s="223"/>
      <c r="MZ11" s="223"/>
      <c r="NA11" s="223">
        <v>45796</v>
      </c>
      <c r="NB11" s="223"/>
      <c r="NC11" s="223"/>
      <c r="ND11" s="223"/>
      <c r="NE11" s="223">
        <v>45817</v>
      </c>
      <c r="NF11" s="223"/>
      <c r="NG11" s="223"/>
      <c r="NH11" s="225">
        <v>45779</v>
      </c>
      <c r="NI11" s="223"/>
      <c r="NJ11" s="223"/>
      <c r="NK11" s="223"/>
      <c r="NL11" s="223"/>
      <c r="NM11" s="223"/>
      <c r="NN11" s="223"/>
      <c r="NO11" s="223"/>
      <c r="NP11" s="223"/>
      <c r="NQ11" s="223"/>
      <c r="NR11" s="223"/>
      <c r="NS11" s="223"/>
      <c r="NT11" s="224"/>
      <c r="NU11" s="223"/>
      <c r="NV11" s="223"/>
      <c r="NW11" s="223"/>
      <c r="NX11" s="223"/>
      <c r="NY11" s="223"/>
      <c r="NZ11" s="223"/>
      <c r="OA11" s="223"/>
      <c r="OB11" s="223"/>
      <c r="OC11" s="223"/>
      <c r="OD11" s="223"/>
      <c r="OE11" s="223"/>
      <c r="OF11" s="223"/>
      <c r="OH11" s="223"/>
      <c r="OI11" s="223"/>
      <c r="OJ11" s="223"/>
      <c r="OK11" s="223"/>
      <c r="OL11" s="223"/>
      <c r="OM11" s="223"/>
      <c r="ON11" s="223"/>
      <c r="OO11" s="223"/>
      <c r="OP11" s="223"/>
      <c r="OQ11" s="223"/>
      <c r="OR11" s="223"/>
      <c r="OS11" s="223"/>
      <c r="OT11" s="227"/>
      <c r="OU11" s="584"/>
      <c r="OV11" s="581"/>
      <c r="OW11" s="228"/>
      <c r="OX11" s="228"/>
      <c r="OY11" s="228"/>
      <c r="OZ11" s="569"/>
      <c r="PA11" s="570"/>
      <c r="PB11" s="228"/>
      <c r="PC11" s="228"/>
      <c r="PD11" s="229"/>
      <c r="PE11" s="569"/>
      <c r="PF11" s="570"/>
      <c r="PG11" s="569"/>
      <c r="PH11" s="570"/>
      <c r="PI11" s="569"/>
      <c r="PJ11" s="581"/>
      <c r="PK11" s="570"/>
      <c r="PL11" s="228"/>
      <c r="PM11" s="228"/>
      <c r="PN11" s="229"/>
      <c r="PO11" s="230"/>
      <c r="PP11" s="231"/>
      <c r="PQ11" s="228"/>
      <c r="PR11" s="305"/>
    </row>
    <row r="12" spans="1:434" s="251" customFormat="1" x14ac:dyDescent="0.45">
      <c r="A12"/>
      <c r="B12" s="242"/>
      <c r="C12" s="242"/>
      <c r="D12" s="242"/>
      <c r="E12" s="242"/>
      <c r="F12" s="242"/>
      <c r="G12" s="543"/>
      <c r="H12" s="543"/>
      <c r="I12" s="543"/>
      <c r="J12" s="543"/>
      <c r="K12" s="543"/>
      <c r="L12" s="543"/>
      <c r="M12" s="543"/>
      <c r="N12" s="543"/>
      <c r="O12" s="242"/>
      <c r="P12" s="543"/>
      <c r="Q12" s="543"/>
      <c r="R12" s="543"/>
      <c r="S12" s="543"/>
      <c r="T12" s="543"/>
      <c r="U12" s="243"/>
      <c r="V12" s="243"/>
      <c r="W12" s="243"/>
      <c r="X12" s="242"/>
      <c r="Y12" s="579" t="s">
        <v>24</v>
      </c>
      <c r="Z12" s="579"/>
      <c r="AA12" s="543"/>
      <c r="AB12" s="242"/>
      <c r="AC12" s="244"/>
      <c r="AD12" s="242"/>
      <c r="AE12" s="242"/>
      <c r="AF12" s="242"/>
      <c r="AG12" s="242"/>
      <c r="AH12" s="242"/>
      <c r="AI12" s="242"/>
      <c r="AJ12" s="242"/>
      <c r="AK12" s="242"/>
      <c r="AL12" s="242"/>
      <c r="AM12" s="242"/>
      <c r="AN12" s="242"/>
      <c r="AO12" s="242"/>
      <c r="AP12" s="242"/>
      <c r="AQ12" s="242"/>
      <c r="AR12" s="242"/>
      <c r="AS12" s="242"/>
      <c r="AT12" s="242"/>
      <c r="AU12" s="242"/>
      <c r="AV12" s="242"/>
      <c r="AW12" s="242"/>
      <c r="AX12" s="242"/>
      <c r="AY12" s="242"/>
      <c r="AZ12" s="242"/>
      <c r="BA12" s="242"/>
      <c r="BB12" s="242"/>
      <c r="BC12" s="242"/>
      <c r="BD12" s="242"/>
      <c r="BE12" s="242"/>
      <c r="BF12" s="242"/>
      <c r="BG12" s="242"/>
      <c r="BH12" s="242"/>
      <c r="BI12" s="242"/>
      <c r="BJ12" s="242"/>
      <c r="BK12" s="242"/>
      <c r="BL12" s="242"/>
      <c r="BM12" s="242"/>
      <c r="BN12" s="242"/>
      <c r="BO12" s="242"/>
      <c r="BP12" s="242"/>
      <c r="BQ12" s="242"/>
      <c r="BR12" s="242"/>
      <c r="BS12" s="242"/>
      <c r="BT12" s="242"/>
      <c r="BU12" s="242"/>
      <c r="BV12" s="242"/>
      <c r="BW12" s="242"/>
      <c r="BX12" s="242"/>
      <c r="BY12" s="242"/>
      <c r="BZ12" s="242"/>
      <c r="CA12" s="242"/>
      <c r="CB12" s="242"/>
      <c r="CC12" s="242"/>
      <c r="CD12" s="242"/>
      <c r="CE12" s="242"/>
      <c r="CF12" s="242"/>
      <c r="CG12" s="242"/>
      <c r="CH12" s="242"/>
      <c r="CI12" s="242"/>
      <c r="CJ12" s="242"/>
      <c r="CK12" s="242"/>
      <c r="CL12" s="242"/>
      <c r="CM12" s="242"/>
      <c r="CN12" s="242"/>
      <c r="CO12" s="242"/>
      <c r="CP12" s="242"/>
      <c r="CQ12" s="242"/>
      <c r="CR12" s="242"/>
      <c r="CS12" s="242"/>
      <c r="CT12" s="242"/>
      <c r="CU12" s="242"/>
      <c r="CV12" s="242"/>
      <c r="CW12" s="543"/>
      <c r="CX12" s="242"/>
      <c r="CY12" s="242"/>
      <c r="CZ12" s="242"/>
      <c r="DA12" s="244"/>
      <c r="DB12" s="246"/>
      <c r="DC12" s="246"/>
      <c r="DD12" s="246"/>
      <c r="DE12" s="246"/>
      <c r="DF12" s="246"/>
      <c r="DG12" s="246"/>
      <c r="DH12" s="246"/>
      <c r="DI12" s="246"/>
      <c r="DJ12" s="246"/>
      <c r="DK12" s="246"/>
      <c r="DL12" s="246"/>
      <c r="DM12" s="246"/>
      <c r="DN12" s="246"/>
      <c r="DO12" s="246"/>
      <c r="DP12" s="246"/>
      <c r="DQ12" s="246"/>
      <c r="DR12" s="246"/>
      <c r="DS12" s="246"/>
      <c r="DT12" s="246"/>
      <c r="DU12" s="246"/>
      <c r="DV12" s="246"/>
      <c r="DW12" s="246"/>
      <c r="DX12" s="244"/>
      <c r="DY12" s="242"/>
      <c r="DZ12" s="242"/>
      <c r="EA12" s="242"/>
      <c r="EB12" s="242"/>
      <c r="EC12" s="242"/>
      <c r="ED12" s="242"/>
      <c r="EE12" s="543"/>
      <c r="EF12" s="543"/>
      <c r="EG12" s="242"/>
      <c r="EH12" s="242"/>
      <c r="EI12" s="242"/>
      <c r="EJ12" s="242"/>
      <c r="EK12" s="244"/>
      <c r="EL12" s="246"/>
      <c r="EM12" s="246"/>
      <c r="EN12" s="50"/>
      <c r="EO12" s="244"/>
      <c r="EP12" s="246"/>
      <c r="EQ12" s="468" t="s">
        <v>1</v>
      </c>
      <c r="ER12"/>
      <c r="ES12" s="242"/>
      <c r="ET12" s="242"/>
      <c r="EU12" s="242"/>
      <c r="EV12" s="242"/>
      <c r="EW12" s="242"/>
      <c r="EX12" s="242"/>
      <c r="EY12" s="242"/>
      <c r="EZ12" s="242"/>
      <c r="FA12" s="242"/>
      <c r="FB12" s="242"/>
      <c r="FC12" s="543"/>
      <c r="FD12" s="543"/>
      <c r="FE12" s="543"/>
      <c r="FF12" s="543"/>
      <c r="FG12" s="543"/>
      <c r="FH12" s="243"/>
      <c r="FI12" s="243"/>
      <c r="FJ12" s="243"/>
      <c r="FK12" s="243"/>
      <c r="FL12" s="243"/>
      <c r="FM12" s="243"/>
      <c r="FN12" s="543"/>
      <c r="FO12" s="543"/>
      <c r="FP12" s="243"/>
      <c r="FQ12" s="543"/>
      <c r="FR12" s="543">
        <v>40</v>
      </c>
      <c r="FS12" s="243"/>
      <c r="FT12" s="543">
        <v>300</v>
      </c>
      <c r="FU12" s="543">
        <v>150</v>
      </c>
      <c r="FV12" s="543"/>
      <c r="FW12" s="543">
        <v>80</v>
      </c>
      <c r="FX12" s="543"/>
      <c r="FY12" s="543"/>
      <c r="FZ12" s="243"/>
      <c r="GA12" s="243"/>
      <c r="GB12" s="243"/>
      <c r="GC12" s="243"/>
      <c r="GD12" s="543"/>
      <c r="GE12" s="543"/>
      <c r="GF12" s="543"/>
      <c r="GG12" s="543">
        <v>75</v>
      </c>
      <c r="GH12" s="543"/>
      <c r="GI12" s="543"/>
      <c r="GJ12" s="543"/>
      <c r="GK12" s="543"/>
      <c r="GL12" s="543"/>
      <c r="GM12" s="543"/>
      <c r="GN12" s="243"/>
      <c r="GO12" s="243"/>
      <c r="GP12" s="543"/>
      <c r="GQ12" s="243"/>
      <c r="GR12" s="543"/>
      <c r="GS12" s="243"/>
      <c r="GT12" s="543"/>
      <c r="GU12" s="243"/>
      <c r="GV12" s="543"/>
      <c r="GW12" s="243"/>
      <c r="GX12" s="243"/>
      <c r="GY12" s="243"/>
      <c r="GZ12" s="243"/>
      <c r="HA12" s="579" t="s">
        <v>24</v>
      </c>
      <c r="HB12" s="579"/>
      <c r="HC12" s="543"/>
      <c r="HD12" s="242"/>
      <c r="HE12" s="244"/>
      <c r="HF12" s="245"/>
      <c r="HG12" s="242"/>
      <c r="HH12" s="543"/>
      <c r="HI12" s="543"/>
      <c r="HJ12" s="543">
        <v>80</v>
      </c>
      <c r="HK12" s="543"/>
      <c r="HL12" s="543"/>
      <c r="HM12" s="543"/>
      <c r="HN12" s="543"/>
      <c r="HO12" s="543"/>
      <c r="HP12" s="543"/>
      <c r="HQ12" s="543"/>
      <c r="HR12" s="543"/>
      <c r="HS12" s="543"/>
      <c r="HT12" s="543"/>
      <c r="HU12" s="543">
        <v>150</v>
      </c>
      <c r="HV12" s="543"/>
      <c r="HW12" s="543"/>
      <c r="HX12" s="543">
        <v>100</v>
      </c>
      <c r="HY12" s="543">
        <v>175</v>
      </c>
      <c r="HZ12" s="543"/>
      <c r="IA12" s="543"/>
      <c r="IB12" s="543">
        <v>80</v>
      </c>
      <c r="IC12" s="543"/>
      <c r="ID12" s="543"/>
      <c r="IE12" s="543"/>
      <c r="IF12" s="543"/>
      <c r="IG12" s="543"/>
      <c r="IH12" s="543"/>
      <c r="II12" s="543">
        <v>30</v>
      </c>
      <c r="IJ12" s="543"/>
      <c r="IK12" s="543">
        <v>20</v>
      </c>
      <c r="IL12" s="543"/>
      <c r="IM12" s="543">
        <v>70</v>
      </c>
      <c r="IN12" s="543">
        <v>13</v>
      </c>
      <c r="IO12" s="543"/>
      <c r="IP12" s="543"/>
      <c r="IQ12" s="543"/>
      <c r="IR12" s="543">
        <v>300</v>
      </c>
      <c r="IS12" s="543">
        <v>10</v>
      </c>
      <c r="IT12" s="543"/>
      <c r="IU12" s="543"/>
      <c r="IV12" s="543">
        <v>300</v>
      </c>
      <c r="IW12" s="543"/>
      <c r="IX12" s="543"/>
      <c r="IY12" s="543"/>
      <c r="IZ12" s="543"/>
      <c r="JA12" s="543">
        <v>0</v>
      </c>
      <c r="JB12" s="543"/>
      <c r="JC12" s="543"/>
      <c r="JD12" s="543"/>
      <c r="JE12" s="543"/>
      <c r="JF12" s="543"/>
      <c r="JG12" s="543"/>
      <c r="JH12" s="543"/>
      <c r="JI12" s="543"/>
      <c r="JJ12" s="543">
        <v>4</v>
      </c>
      <c r="JK12" s="543"/>
      <c r="JL12" s="543"/>
      <c r="JM12" s="543"/>
      <c r="JN12" s="543"/>
      <c r="JO12" s="543"/>
      <c r="JP12" s="543"/>
      <c r="JQ12" s="543"/>
      <c r="JR12" s="543">
        <v>80</v>
      </c>
      <c r="JS12" s="543"/>
      <c r="JT12" s="543"/>
      <c r="JU12" s="543"/>
      <c r="JV12" s="543"/>
      <c r="JW12" s="543">
        <v>250</v>
      </c>
      <c r="JX12" s="543">
        <v>60</v>
      </c>
      <c r="JY12" s="543">
        <v>25</v>
      </c>
      <c r="JZ12" s="543"/>
      <c r="KA12" s="543"/>
      <c r="KB12" s="543"/>
      <c r="KC12" s="543">
        <v>50</v>
      </c>
      <c r="KD12" s="543"/>
      <c r="KE12" s="543"/>
      <c r="KF12" s="543"/>
      <c r="KG12" s="543"/>
      <c r="KH12" s="543"/>
      <c r="KI12" s="543">
        <v>225</v>
      </c>
      <c r="KJ12" s="543"/>
      <c r="KK12" s="543"/>
      <c r="KL12" s="543">
        <v>150</v>
      </c>
      <c r="KM12" s="543"/>
      <c r="KN12" s="543"/>
      <c r="KO12" s="543"/>
      <c r="KP12" s="543"/>
      <c r="KQ12" s="543"/>
      <c r="KR12" s="543"/>
      <c r="KS12" s="543"/>
      <c r="KT12" s="543"/>
      <c r="KU12" s="543"/>
      <c r="KV12" s="543"/>
      <c r="KW12" s="543"/>
      <c r="KX12" s="579" t="s">
        <v>24</v>
      </c>
      <c r="KY12" s="579"/>
      <c r="KZ12" s="543"/>
      <c r="LA12" s="242"/>
      <c r="LB12" s="244"/>
      <c r="LC12" s="264"/>
      <c r="LD12" s="543"/>
      <c r="LE12" s="543"/>
      <c r="LF12" s="543"/>
      <c r="LG12" s="543"/>
      <c r="LH12" s="543"/>
      <c r="LI12" s="543"/>
      <c r="LJ12" s="543"/>
      <c r="LK12" s="543"/>
      <c r="LL12" s="543"/>
      <c r="LM12" s="543"/>
      <c r="LN12" s="543"/>
      <c r="LO12" s="543"/>
      <c r="LP12" s="543"/>
      <c r="LQ12" s="543"/>
      <c r="LR12" s="543"/>
      <c r="LS12" s="543"/>
      <c r="LT12" s="543"/>
      <c r="LU12" s="543"/>
      <c r="LV12" s="543"/>
      <c r="LW12" s="543"/>
      <c r="LX12" s="543"/>
      <c r="LY12" s="543"/>
      <c r="LZ12" s="543"/>
      <c r="MA12" s="543"/>
      <c r="MB12" s="543"/>
      <c r="MC12" s="543"/>
      <c r="MD12" s="543"/>
      <c r="ME12" s="543"/>
      <c r="MF12" s="543"/>
      <c r="MG12" s="211"/>
      <c r="MH12" s="543"/>
      <c r="MI12" s="543"/>
      <c r="MJ12" s="543"/>
      <c r="MK12" s="543"/>
      <c r="ML12" s="543"/>
      <c r="MM12" s="543">
        <v>65</v>
      </c>
      <c r="MO12" s="543"/>
      <c r="MP12" s="543"/>
      <c r="MQ12" s="543">
        <v>180</v>
      </c>
      <c r="MR12" s="543"/>
      <c r="MS12" s="543"/>
      <c r="MT12" s="543"/>
      <c r="MU12" s="543"/>
      <c r="MV12" s="543"/>
      <c r="MW12" s="543"/>
      <c r="MX12" s="543"/>
      <c r="MY12" s="543"/>
      <c r="MZ12" s="543"/>
      <c r="NA12" s="543">
        <v>30</v>
      </c>
      <c r="NB12" s="543"/>
      <c r="NC12" s="543"/>
      <c r="ND12" s="543"/>
      <c r="NE12" s="543">
        <v>100</v>
      </c>
      <c r="NF12" s="543"/>
      <c r="NG12" s="543"/>
      <c r="NH12" s="211">
        <v>45</v>
      </c>
      <c r="NI12" s="543"/>
      <c r="NJ12" s="543"/>
      <c r="NK12" s="543"/>
      <c r="NL12" s="543"/>
      <c r="NM12" s="543"/>
      <c r="NN12" s="543"/>
      <c r="NO12" s="543"/>
      <c r="NP12" s="579" t="s">
        <v>24</v>
      </c>
      <c r="NQ12" s="579"/>
      <c r="NR12" s="543"/>
      <c r="NS12" s="242"/>
      <c r="NT12" s="244"/>
      <c r="NU12" s="246"/>
      <c r="NV12" s="242"/>
      <c r="NW12" s="242"/>
      <c r="NX12" s="242"/>
      <c r="NY12" s="242"/>
      <c r="NZ12" s="242"/>
      <c r="OA12" s="543"/>
      <c r="OB12" s="543"/>
      <c r="OC12" s="242"/>
      <c r="OD12" s="242"/>
      <c r="OE12" s="242"/>
      <c r="OF12" s="242"/>
      <c r="OG12" s="244"/>
      <c r="OH12" s="246"/>
      <c r="OI12" s="246"/>
      <c r="OJ12" s="246"/>
      <c r="OK12" s="246"/>
      <c r="OL12" s="246"/>
      <c r="OM12" s="246"/>
      <c r="ON12" s="246"/>
      <c r="OO12" s="246"/>
      <c r="OP12" s="242"/>
      <c r="OQ12" s="246"/>
      <c r="OR12" s="246"/>
      <c r="OS12" s="247"/>
      <c r="OT12" s="248"/>
      <c r="OU12" s="585"/>
      <c r="OV12" s="582"/>
      <c r="OW12" s="576" t="s">
        <v>25</v>
      </c>
      <c r="OX12" s="577"/>
      <c r="OY12" s="578"/>
      <c r="OZ12" s="571"/>
      <c r="PA12" s="572"/>
      <c r="PB12" s="577" t="s">
        <v>25</v>
      </c>
      <c r="PC12" s="577"/>
      <c r="PD12" s="578"/>
      <c r="PE12" s="571"/>
      <c r="PF12" s="572"/>
      <c r="PG12" s="571"/>
      <c r="PH12" s="572"/>
      <c r="PI12" s="571"/>
      <c r="PJ12" s="582"/>
      <c r="PK12" s="572"/>
      <c r="PL12" s="577" t="s">
        <v>25</v>
      </c>
      <c r="PM12" s="577"/>
      <c r="PN12" s="578"/>
      <c r="PO12" s="542"/>
      <c r="PP12" s="249"/>
      <c r="PQ12" s="250"/>
      <c r="PR12" s="306"/>
    </row>
    <row r="13" spans="1:434" s="241" customFormat="1" x14ac:dyDescent="0.45">
      <c r="A13" s="439" t="s">
        <v>26</v>
      </c>
      <c r="B13" s="471" t="s">
        <v>27</v>
      </c>
      <c r="C13" s="471" t="s">
        <v>27</v>
      </c>
      <c r="D13" s="471" t="s">
        <v>27</v>
      </c>
      <c r="E13" s="471" t="s">
        <v>27</v>
      </c>
      <c r="F13" s="471" t="s">
        <v>27</v>
      </c>
      <c r="G13" s="471" t="s">
        <v>27</v>
      </c>
      <c r="H13" s="471" t="s">
        <v>27</v>
      </c>
      <c r="I13" s="471" t="s">
        <v>27</v>
      </c>
      <c r="J13" s="471" t="s">
        <v>27</v>
      </c>
      <c r="K13" s="471" t="s">
        <v>27</v>
      </c>
      <c r="L13" s="471" t="s">
        <v>27</v>
      </c>
      <c r="M13" s="471" t="s">
        <v>27</v>
      </c>
      <c r="N13" s="471" t="s">
        <v>27</v>
      </c>
      <c r="O13" s="471" t="s">
        <v>27</v>
      </c>
      <c r="P13" s="471" t="s">
        <v>27</v>
      </c>
      <c r="Q13" s="471" t="s">
        <v>27</v>
      </c>
      <c r="R13" s="471" t="s">
        <v>27</v>
      </c>
      <c r="S13" s="471" t="s">
        <v>27</v>
      </c>
      <c r="T13" s="471" t="s">
        <v>27</v>
      </c>
      <c r="U13" s="471" t="s">
        <v>27</v>
      </c>
      <c r="V13" s="471" t="s">
        <v>27</v>
      </c>
      <c r="W13" s="471" t="s">
        <v>27</v>
      </c>
      <c r="X13" s="471" t="s">
        <v>27</v>
      </c>
      <c r="Y13" s="471" t="s">
        <v>27</v>
      </c>
      <c r="Z13" s="471" t="s">
        <v>27</v>
      </c>
      <c r="AA13" s="471" t="s">
        <v>27</v>
      </c>
      <c r="AB13" s="471" t="s">
        <v>27</v>
      </c>
      <c r="AC13" s="235"/>
      <c r="AD13" s="234" t="s">
        <v>28</v>
      </c>
      <c r="AE13" s="234" t="s">
        <v>28</v>
      </c>
      <c r="AF13" s="234" t="s">
        <v>28</v>
      </c>
      <c r="AG13" s="234" t="s">
        <v>28</v>
      </c>
      <c r="AH13" s="234" t="s">
        <v>28</v>
      </c>
      <c r="AI13" s="234" t="s">
        <v>28</v>
      </c>
      <c r="AJ13" s="234" t="s">
        <v>28</v>
      </c>
      <c r="AK13" s="234" t="s">
        <v>28</v>
      </c>
      <c r="AL13" s="234" t="s">
        <v>28</v>
      </c>
      <c r="AM13" s="234" t="s">
        <v>28</v>
      </c>
      <c r="AN13" s="234" t="s">
        <v>28</v>
      </c>
      <c r="AO13" s="234" t="s">
        <v>28</v>
      </c>
      <c r="AP13" s="234" t="s">
        <v>28</v>
      </c>
      <c r="AQ13" s="234" t="s">
        <v>28</v>
      </c>
      <c r="AR13" s="234" t="s">
        <v>28</v>
      </c>
      <c r="AS13" s="234" t="s">
        <v>28</v>
      </c>
      <c r="AT13" s="234" t="s">
        <v>28</v>
      </c>
      <c r="AU13" s="234" t="s">
        <v>28</v>
      </c>
      <c r="AV13" s="234" t="s">
        <v>28</v>
      </c>
      <c r="AW13" s="234" t="s">
        <v>28</v>
      </c>
      <c r="AX13" s="234" t="s">
        <v>28</v>
      </c>
      <c r="AY13" s="234" t="s">
        <v>28</v>
      </c>
      <c r="AZ13" s="234" t="s">
        <v>28</v>
      </c>
      <c r="BA13" s="234" t="s">
        <v>28</v>
      </c>
      <c r="BB13" s="234" t="s">
        <v>28</v>
      </c>
      <c r="BC13" s="234" t="s">
        <v>28</v>
      </c>
      <c r="BD13" s="234" t="s">
        <v>28</v>
      </c>
      <c r="BE13" s="234" t="s">
        <v>28</v>
      </c>
      <c r="BF13" s="234" t="s">
        <v>28</v>
      </c>
      <c r="BG13" s="234" t="s">
        <v>28</v>
      </c>
      <c r="BH13" s="234" t="s">
        <v>28</v>
      </c>
      <c r="BI13" s="234" t="s">
        <v>28</v>
      </c>
      <c r="BJ13" s="234" t="s">
        <v>28</v>
      </c>
      <c r="BK13" s="234" t="s">
        <v>28</v>
      </c>
      <c r="BL13" s="234" t="s">
        <v>28</v>
      </c>
      <c r="BM13" s="234" t="s">
        <v>28</v>
      </c>
      <c r="BN13" s="234" t="s">
        <v>28</v>
      </c>
      <c r="BO13" s="234" t="s">
        <v>28</v>
      </c>
      <c r="BP13" s="234" t="s">
        <v>28</v>
      </c>
      <c r="BQ13" s="234" t="s">
        <v>28</v>
      </c>
      <c r="BR13" s="234" t="s">
        <v>28</v>
      </c>
      <c r="BS13" s="234" t="s">
        <v>28</v>
      </c>
      <c r="BT13" s="234" t="s">
        <v>28</v>
      </c>
      <c r="BU13" s="234" t="s">
        <v>28</v>
      </c>
      <c r="BV13" s="234" t="s">
        <v>28</v>
      </c>
      <c r="BW13" s="234" t="s">
        <v>28</v>
      </c>
      <c r="BX13" s="234" t="s">
        <v>28</v>
      </c>
      <c r="BY13" s="234" t="s">
        <v>28</v>
      </c>
      <c r="BZ13" s="234" t="s">
        <v>28</v>
      </c>
      <c r="CA13" s="234" t="s">
        <v>28</v>
      </c>
      <c r="CB13" s="234" t="s">
        <v>28</v>
      </c>
      <c r="CC13" s="234" t="s">
        <v>28</v>
      </c>
      <c r="CD13" s="234" t="s">
        <v>28</v>
      </c>
      <c r="CE13" s="234" t="s">
        <v>28</v>
      </c>
      <c r="CF13" s="234" t="s">
        <v>28</v>
      </c>
      <c r="CG13" s="234" t="s">
        <v>28</v>
      </c>
      <c r="CH13" s="234" t="s">
        <v>28</v>
      </c>
      <c r="CI13" s="234" t="s">
        <v>28</v>
      </c>
      <c r="CJ13" s="234" t="s">
        <v>28</v>
      </c>
      <c r="CK13" s="234" t="s">
        <v>28</v>
      </c>
      <c r="CL13" s="234" t="s">
        <v>28</v>
      </c>
      <c r="CM13" s="234" t="s">
        <v>28</v>
      </c>
      <c r="CN13" s="234" t="s">
        <v>28</v>
      </c>
      <c r="CO13" s="234" t="s">
        <v>28</v>
      </c>
      <c r="CP13" s="234" t="s">
        <v>28</v>
      </c>
      <c r="CQ13" s="234" t="s">
        <v>28</v>
      </c>
      <c r="CR13" s="234" t="s">
        <v>28</v>
      </c>
      <c r="CS13" s="234" t="s">
        <v>28</v>
      </c>
      <c r="CT13" s="234" t="s">
        <v>28</v>
      </c>
      <c r="CU13" s="234" t="s">
        <v>28</v>
      </c>
      <c r="CV13" s="234" t="s">
        <v>28</v>
      </c>
      <c r="CW13" s="234" t="s">
        <v>28</v>
      </c>
      <c r="CX13" s="234" t="s">
        <v>28</v>
      </c>
      <c r="CY13" s="234" t="s">
        <v>28</v>
      </c>
      <c r="CZ13" s="234" t="s">
        <v>28</v>
      </c>
      <c r="DA13" s="235"/>
      <c r="DB13" s="234" t="s">
        <v>29</v>
      </c>
      <c r="DC13" s="234" t="s">
        <v>29</v>
      </c>
      <c r="DD13" s="234" t="s">
        <v>29</v>
      </c>
      <c r="DE13" s="234" t="s">
        <v>29</v>
      </c>
      <c r="DF13" s="234" t="s">
        <v>29</v>
      </c>
      <c r="DG13" s="234" t="s">
        <v>29</v>
      </c>
      <c r="DH13" s="234" t="s">
        <v>29</v>
      </c>
      <c r="DI13" s="234" t="s">
        <v>29</v>
      </c>
      <c r="DJ13" s="234" t="s">
        <v>29</v>
      </c>
      <c r="DK13" s="234" t="s">
        <v>29</v>
      </c>
      <c r="DL13" s="234" t="s">
        <v>29</v>
      </c>
      <c r="DM13" s="234" t="s">
        <v>29</v>
      </c>
      <c r="DN13" s="234" t="s">
        <v>29</v>
      </c>
      <c r="DO13" s="234" t="s">
        <v>29</v>
      </c>
      <c r="DP13" s="234" t="s">
        <v>29</v>
      </c>
      <c r="DQ13" s="234" t="s">
        <v>29</v>
      </c>
      <c r="DR13" s="234" t="s">
        <v>29</v>
      </c>
      <c r="DS13" s="234" t="s">
        <v>29</v>
      </c>
      <c r="DT13" s="234" t="s">
        <v>29</v>
      </c>
      <c r="DU13" s="234" t="s">
        <v>29</v>
      </c>
      <c r="DV13" s="234" t="s">
        <v>29</v>
      </c>
      <c r="DW13" s="234" t="s">
        <v>29</v>
      </c>
      <c r="DX13" s="235"/>
      <c r="DY13" s="234" t="s">
        <v>30</v>
      </c>
      <c r="DZ13" s="234" t="s">
        <v>30</v>
      </c>
      <c r="EA13" s="234" t="s">
        <v>30</v>
      </c>
      <c r="EB13" s="234" t="s">
        <v>30</v>
      </c>
      <c r="EC13" s="234" t="s">
        <v>30</v>
      </c>
      <c r="ED13" s="234" t="s">
        <v>30</v>
      </c>
      <c r="EE13" s="234" t="s">
        <v>30</v>
      </c>
      <c r="EF13" s="234" t="s">
        <v>30</v>
      </c>
      <c r="EG13" s="234" t="s">
        <v>30</v>
      </c>
      <c r="EH13" s="234" t="s">
        <v>30</v>
      </c>
      <c r="EI13" s="234" t="s">
        <v>30</v>
      </c>
      <c r="EJ13" s="234" t="s">
        <v>30</v>
      </c>
      <c r="EK13" s="235"/>
      <c r="EL13" s="237"/>
      <c r="EM13" s="237"/>
      <c r="EN13" s="50"/>
      <c r="EO13" s="235"/>
      <c r="EP13" s="237"/>
      <c r="EQ13" s="468" t="s">
        <v>1</v>
      </c>
      <c r="ER13"/>
      <c r="ES13" s="232"/>
      <c r="ET13" s="232"/>
      <c r="EU13" s="232"/>
      <c r="EV13" s="232"/>
      <c r="EW13" s="232"/>
      <c r="EX13" s="232"/>
      <c r="EY13" s="232"/>
      <c r="EZ13" s="232"/>
      <c r="FA13" s="232"/>
      <c r="FB13" s="232"/>
      <c r="FC13" s="233"/>
      <c r="FD13" s="233"/>
      <c r="FE13" s="233"/>
      <c r="FF13" s="233"/>
      <c r="FG13" s="233"/>
      <c r="FH13" s="234"/>
      <c r="FI13" s="234"/>
      <c r="FJ13" s="234"/>
      <c r="FK13" s="234"/>
      <c r="FL13" s="234"/>
      <c r="FM13" s="234"/>
      <c r="FN13" s="233"/>
      <c r="FO13" s="233"/>
      <c r="FP13" s="234"/>
      <c r="FQ13" s="233"/>
      <c r="FR13" s="233">
        <v>167.63839999999999</v>
      </c>
      <c r="FS13" s="234"/>
      <c r="FT13" s="233">
        <v>63.35</v>
      </c>
      <c r="FU13" s="233">
        <v>49.7</v>
      </c>
      <c r="FV13" s="233"/>
      <c r="FW13" s="233">
        <v>80.680000000000007</v>
      </c>
      <c r="FX13" s="233"/>
      <c r="FY13" s="233"/>
      <c r="FZ13" s="234"/>
      <c r="GA13" s="234"/>
      <c r="GB13" s="234"/>
      <c r="GC13" s="234"/>
      <c r="GD13" s="233"/>
      <c r="GE13" s="233"/>
      <c r="GF13" s="233"/>
      <c r="GG13" s="233">
        <v>99.6785</v>
      </c>
      <c r="GH13" s="233"/>
      <c r="GI13" s="233"/>
      <c r="GJ13" s="233"/>
      <c r="GK13" s="233"/>
      <c r="GL13" s="233"/>
      <c r="GM13" s="233"/>
      <c r="GN13" s="234"/>
      <c r="GO13" s="234"/>
      <c r="GP13" s="233"/>
      <c r="GQ13" s="234"/>
      <c r="GR13" s="233"/>
      <c r="GS13" s="234"/>
      <c r="GT13" s="233"/>
      <c r="GU13" s="234"/>
      <c r="GV13" s="233"/>
      <c r="GW13" s="234"/>
      <c r="GX13" s="234"/>
      <c r="GY13" s="234"/>
      <c r="GZ13" s="234"/>
      <c r="HA13" s="233"/>
      <c r="HB13" s="233"/>
      <c r="HC13" s="233"/>
      <c r="HD13" s="232"/>
      <c r="HE13" s="235"/>
      <c r="HF13" s="236"/>
      <c r="HG13" s="232"/>
      <c r="HH13" s="233"/>
      <c r="HI13" s="233"/>
      <c r="HJ13" s="233">
        <v>167.51</v>
      </c>
      <c r="HK13" s="233"/>
      <c r="HL13" s="233"/>
      <c r="HM13" s="233"/>
      <c r="HN13" s="233"/>
      <c r="HO13" s="233"/>
      <c r="HP13" s="233"/>
      <c r="HQ13" s="233"/>
      <c r="HR13" s="233"/>
      <c r="HS13" s="233"/>
      <c r="HT13" s="233"/>
      <c r="HU13" s="233">
        <v>47.497500000000002</v>
      </c>
      <c r="HV13" s="233"/>
      <c r="HW13" s="233"/>
      <c r="HX13" s="233">
        <v>96.7</v>
      </c>
      <c r="HY13" s="233">
        <v>44.99</v>
      </c>
      <c r="HZ13" s="233"/>
      <c r="IA13" s="233"/>
      <c r="IB13" s="233">
        <v>143.13</v>
      </c>
      <c r="IC13" s="233"/>
      <c r="ID13" s="233"/>
      <c r="IE13" s="233"/>
      <c r="IF13" s="233"/>
      <c r="IG13" s="233"/>
      <c r="IH13" s="233"/>
      <c r="II13" s="233">
        <v>248.91589999999999</v>
      </c>
      <c r="IJ13" s="233"/>
      <c r="IK13" s="233">
        <v>251.56270000000001</v>
      </c>
      <c r="IL13" s="233"/>
      <c r="IM13" s="233">
        <v>89.01</v>
      </c>
      <c r="IN13" s="233">
        <v>481.56</v>
      </c>
      <c r="IO13" s="233"/>
      <c r="IP13" s="233"/>
      <c r="IQ13" s="233"/>
      <c r="IR13" s="233">
        <v>59.5</v>
      </c>
      <c r="IS13" s="233">
        <v>106.06</v>
      </c>
      <c r="IT13" s="233"/>
      <c r="IU13" s="233"/>
      <c r="IV13" s="233">
        <v>59.91</v>
      </c>
      <c r="IW13" s="233"/>
      <c r="IX13" s="233"/>
      <c r="IY13" s="233"/>
      <c r="IZ13" s="233"/>
      <c r="JA13" s="233">
        <v>0</v>
      </c>
      <c r="JB13" s="233"/>
      <c r="JC13" s="233"/>
      <c r="JD13" s="233"/>
      <c r="JE13" s="233"/>
      <c r="JF13" s="233"/>
      <c r="JG13" s="233"/>
      <c r="JH13" s="233"/>
      <c r="JI13" s="233"/>
      <c r="JJ13" s="233">
        <v>2389.6968000000002</v>
      </c>
      <c r="JK13" s="233"/>
      <c r="JL13" s="233"/>
      <c r="JM13" s="233"/>
      <c r="JN13" s="233"/>
      <c r="JO13" s="233"/>
      <c r="JP13" s="233"/>
      <c r="JQ13" s="233"/>
      <c r="JR13" s="233">
        <v>165.09</v>
      </c>
      <c r="JS13" s="233"/>
      <c r="JT13" s="233"/>
      <c r="JU13" s="233"/>
      <c r="JV13" s="233"/>
      <c r="JW13" s="233">
        <v>68.239999999999995</v>
      </c>
      <c r="JX13" s="233">
        <v>350.7</v>
      </c>
      <c r="JY13" s="233">
        <v>221.65950000000001</v>
      </c>
      <c r="JZ13" s="233"/>
      <c r="KA13" s="233"/>
      <c r="KB13" s="233"/>
      <c r="KC13" s="233">
        <v>215.29</v>
      </c>
      <c r="KD13" s="233"/>
      <c r="KE13" s="233"/>
      <c r="KF13" s="233"/>
      <c r="KG13" s="233"/>
      <c r="KH13" s="233"/>
      <c r="KI13" s="233">
        <v>47.0334</v>
      </c>
      <c r="KJ13" s="233"/>
      <c r="KK13" s="233"/>
      <c r="KL13" s="233">
        <v>89.75</v>
      </c>
      <c r="KM13" s="233"/>
      <c r="KN13" s="233"/>
      <c r="KO13" s="233"/>
      <c r="KP13" s="233"/>
      <c r="KQ13" s="233"/>
      <c r="KR13" s="233"/>
      <c r="KS13" s="233"/>
      <c r="KT13" s="233"/>
      <c r="KU13" s="233"/>
      <c r="KV13" s="233"/>
      <c r="KW13" s="233"/>
      <c r="KX13" s="233"/>
      <c r="KY13" s="233"/>
      <c r="KZ13" s="233"/>
      <c r="LA13" s="232"/>
      <c r="LB13" s="235"/>
      <c r="LC13" s="253"/>
      <c r="LD13" s="233"/>
      <c r="LE13" s="233"/>
      <c r="LF13" s="233"/>
      <c r="LG13" s="233"/>
      <c r="LH13" s="233"/>
      <c r="LI13" s="233"/>
      <c r="LJ13" s="233"/>
      <c r="LK13" s="233"/>
      <c r="LL13" s="233"/>
      <c r="LM13" s="233"/>
      <c r="LN13" s="233"/>
      <c r="LO13" s="233"/>
      <c r="LP13" s="233"/>
      <c r="LQ13" s="233"/>
      <c r="LR13" s="233"/>
      <c r="LS13" s="233"/>
      <c r="LT13" s="233"/>
      <c r="LU13" s="233"/>
      <c r="LV13" s="233"/>
      <c r="LW13" s="233"/>
      <c r="LX13" s="233"/>
      <c r="LY13" s="233"/>
      <c r="LZ13" s="233"/>
      <c r="MA13" s="233"/>
      <c r="MB13" s="233"/>
      <c r="MC13" s="233"/>
      <c r="MD13" s="233"/>
      <c r="ME13" s="233"/>
      <c r="MF13" s="233"/>
      <c r="MG13" s="64"/>
      <c r="MH13" s="233"/>
      <c r="MI13" s="233"/>
      <c r="MJ13" s="233"/>
      <c r="MK13" s="233"/>
      <c r="ML13" s="233"/>
      <c r="MM13" s="233">
        <v>61.25</v>
      </c>
      <c r="MO13" s="233"/>
      <c r="MP13" s="233"/>
      <c r="MQ13" s="233">
        <v>28.5</v>
      </c>
      <c r="MR13" s="233"/>
      <c r="MS13" s="233"/>
      <c r="MT13" s="233"/>
      <c r="MU13" s="233"/>
      <c r="MV13" s="233"/>
      <c r="MW13" s="233"/>
      <c r="MX13" s="233"/>
      <c r="MY13" s="233"/>
      <c r="MZ13" s="233"/>
      <c r="NA13" s="233">
        <v>308.0378</v>
      </c>
      <c r="NB13" s="233"/>
      <c r="NC13" s="233"/>
      <c r="ND13" s="233"/>
      <c r="NE13" s="233">
        <v>76.212500000000006</v>
      </c>
      <c r="NF13" s="233"/>
      <c r="NG13" s="233"/>
      <c r="NH13" s="64">
        <v>89.648600000000002</v>
      </c>
      <c r="NI13" s="233"/>
      <c r="NJ13" s="233"/>
      <c r="NK13" s="233"/>
      <c r="NL13" s="233"/>
      <c r="NM13" s="233"/>
      <c r="NN13" s="233"/>
      <c r="NO13" s="233"/>
      <c r="NP13" s="233"/>
      <c r="NQ13" s="233"/>
      <c r="NR13" s="233"/>
      <c r="NS13" s="232"/>
      <c r="NT13" s="235"/>
      <c r="NU13" s="237"/>
      <c r="NV13" s="232"/>
      <c r="NW13" s="232"/>
      <c r="NX13" s="232"/>
      <c r="NY13" s="232"/>
      <c r="NZ13" s="232"/>
      <c r="OA13" s="233"/>
      <c r="OB13" s="233"/>
      <c r="OC13" s="232"/>
      <c r="OD13" s="232"/>
      <c r="OE13" s="232"/>
      <c r="OF13" s="232"/>
      <c r="OG13" s="235"/>
      <c r="OH13" s="237"/>
      <c r="OI13" s="237"/>
      <c r="OJ13" s="237"/>
      <c r="OK13" s="237"/>
      <c r="OL13" s="237"/>
      <c r="OM13" s="237"/>
      <c r="ON13" s="237"/>
      <c r="OO13" s="237"/>
      <c r="OP13" s="232"/>
      <c r="OQ13" s="237"/>
      <c r="OR13" s="237"/>
      <c r="OS13" s="238"/>
      <c r="OT13" s="239"/>
      <c r="OU13" s="252"/>
      <c r="OV13" s="253"/>
      <c r="OW13" s="254"/>
      <c r="OX13" s="253"/>
      <c r="OY13" s="255"/>
      <c r="OZ13" s="256"/>
      <c r="PA13" s="255"/>
      <c r="PB13" s="253"/>
      <c r="PC13" s="253"/>
      <c r="PD13" s="255"/>
      <c r="PE13" s="256"/>
      <c r="PF13" s="255"/>
      <c r="PG13" s="256"/>
      <c r="PH13" s="255"/>
      <c r="PI13" s="256"/>
      <c r="PJ13" s="253"/>
      <c r="PK13" s="253"/>
      <c r="PL13" s="253"/>
      <c r="PM13" s="253"/>
      <c r="PN13" s="255"/>
      <c r="PO13" s="253"/>
      <c r="PP13" s="257"/>
      <c r="PQ13" s="240"/>
      <c r="PR13" s="307"/>
    </row>
    <row r="14" spans="1:434" s="13" customFormat="1" ht="76" customHeight="1" thickBot="1" x14ac:dyDescent="0.5">
      <c r="A14" s="422" t="s">
        <v>31</v>
      </c>
      <c r="B14" s="423" t="s">
        <v>32</v>
      </c>
      <c r="C14" s="183" t="s">
        <v>33</v>
      </c>
      <c r="D14" s="15" t="s">
        <v>34</v>
      </c>
      <c r="E14" s="424" t="s">
        <v>35</v>
      </c>
      <c r="F14" s="15" t="s">
        <v>36</v>
      </c>
      <c r="G14" s="15" t="s">
        <v>37</v>
      </c>
      <c r="H14" s="472" t="s">
        <v>38</v>
      </c>
      <c r="I14" s="472" t="s">
        <v>39</v>
      </c>
      <c r="J14" s="472" t="s">
        <v>40</v>
      </c>
      <c r="K14" s="472" t="s">
        <v>41</v>
      </c>
      <c r="L14" s="27" t="s">
        <v>42</v>
      </c>
      <c r="M14" s="472" t="s">
        <v>43</v>
      </c>
      <c r="N14" s="27" t="s">
        <v>44</v>
      </c>
      <c r="O14" s="15" t="s">
        <v>45</v>
      </c>
      <c r="P14" s="26" t="s">
        <v>46</v>
      </c>
      <c r="Q14" s="472" t="s">
        <v>47</v>
      </c>
      <c r="R14" s="26" t="s">
        <v>48</v>
      </c>
      <c r="S14" s="472" t="s">
        <v>49</v>
      </c>
      <c r="T14" s="472" t="s">
        <v>50</v>
      </c>
      <c r="U14" s="26" t="s">
        <v>51</v>
      </c>
      <c r="V14" s="26" t="s">
        <v>52</v>
      </c>
      <c r="W14" s="428" t="s">
        <v>53</v>
      </c>
      <c r="X14" s="424"/>
      <c r="Y14" s="422" t="s">
        <v>54</v>
      </c>
      <c r="Z14" s="424" t="s">
        <v>55</v>
      </c>
      <c r="AA14" s="429" t="s">
        <v>56</v>
      </c>
      <c r="AB14" s="430" t="s">
        <v>57</v>
      </c>
      <c r="AC14" s="431"/>
      <c r="AD14" s="423" t="s">
        <v>32</v>
      </c>
      <c r="AE14" s="183" t="s">
        <v>58</v>
      </c>
      <c r="AF14" s="427" t="s">
        <v>59</v>
      </c>
      <c r="AG14" s="432" t="s">
        <v>60</v>
      </c>
      <c r="AH14" s="432" t="s">
        <v>61</v>
      </c>
      <c r="AI14" s="432" t="s">
        <v>62</v>
      </c>
      <c r="AJ14" s="234" t="s">
        <v>63</v>
      </c>
      <c r="AK14" s="432" t="s">
        <v>64</v>
      </c>
      <c r="AL14" s="432" t="s">
        <v>65</v>
      </c>
      <c r="AM14" s="427" t="s">
        <v>66</v>
      </c>
      <c r="AN14" s="424" t="s">
        <v>67</v>
      </c>
      <c r="AO14" s="427" t="s">
        <v>68</v>
      </c>
      <c r="AP14" s="234" t="s">
        <v>69</v>
      </c>
      <c r="AQ14" s="432" t="s">
        <v>70</v>
      </c>
      <c r="AR14" s="432" t="s">
        <v>71</v>
      </c>
      <c r="AS14" s="427" t="s">
        <v>72</v>
      </c>
      <c r="AT14" s="427" t="s">
        <v>73</v>
      </c>
      <c r="AU14" s="427" t="s">
        <v>74</v>
      </c>
      <c r="AV14" s="424" t="s">
        <v>75</v>
      </c>
      <c r="AW14" s="432" t="s">
        <v>76</v>
      </c>
      <c r="AX14" s="427" t="s">
        <v>77</v>
      </c>
      <c r="AY14" s="427" t="s">
        <v>78</v>
      </c>
      <c r="AZ14" s="427" t="s">
        <v>37</v>
      </c>
      <c r="BA14" s="427" t="s">
        <v>37</v>
      </c>
      <c r="BB14" s="424" t="s">
        <v>79</v>
      </c>
      <c r="BC14" s="424" t="s">
        <v>80</v>
      </c>
      <c r="BD14" s="424" t="s">
        <v>38</v>
      </c>
      <c r="BE14" s="432" t="s">
        <v>81</v>
      </c>
      <c r="BF14" s="432" t="s">
        <v>82</v>
      </c>
      <c r="BG14" s="424" t="s">
        <v>83</v>
      </c>
      <c r="BH14" s="427" t="s">
        <v>84</v>
      </c>
      <c r="BI14" s="432" t="s">
        <v>85</v>
      </c>
      <c r="BJ14" s="432" t="s">
        <v>86</v>
      </c>
      <c r="BK14" s="427" t="s">
        <v>87</v>
      </c>
      <c r="BL14" s="427" t="s">
        <v>88</v>
      </c>
      <c r="BM14" s="432" t="s">
        <v>89</v>
      </c>
      <c r="BN14" s="432" t="s">
        <v>41</v>
      </c>
      <c r="BO14" s="432" t="s">
        <v>90</v>
      </c>
      <c r="BP14" s="427" t="s">
        <v>91</v>
      </c>
      <c r="BQ14" s="432" t="s">
        <v>42</v>
      </c>
      <c r="BR14" s="427" t="s">
        <v>92</v>
      </c>
      <c r="BS14" s="432" t="s">
        <v>93</v>
      </c>
      <c r="BT14" s="427" t="s">
        <v>94</v>
      </c>
      <c r="BU14" s="432" t="s">
        <v>43</v>
      </c>
      <c r="BV14" s="427" t="s">
        <v>95</v>
      </c>
      <c r="BW14" s="427" t="s">
        <v>96</v>
      </c>
      <c r="BX14" s="427" t="s">
        <v>97</v>
      </c>
      <c r="BY14" s="427" t="s">
        <v>98</v>
      </c>
      <c r="BZ14" s="432" t="s">
        <v>99</v>
      </c>
      <c r="CA14" s="427" t="s">
        <v>100</v>
      </c>
      <c r="CB14" s="427" t="s">
        <v>101</v>
      </c>
      <c r="CC14" s="427" t="s">
        <v>46</v>
      </c>
      <c r="CD14" s="427" t="s">
        <v>102</v>
      </c>
      <c r="CE14" s="432" t="s">
        <v>47</v>
      </c>
      <c r="CF14" s="427" t="s">
        <v>103</v>
      </c>
      <c r="CG14" s="424" t="s">
        <v>104</v>
      </c>
      <c r="CH14" s="427" t="s">
        <v>105</v>
      </c>
      <c r="CI14" s="432" t="s">
        <v>106</v>
      </c>
      <c r="CJ14" s="425" t="s">
        <v>107</v>
      </c>
      <c r="CK14" s="425" t="s">
        <v>108</v>
      </c>
      <c r="CL14" s="425" t="s">
        <v>109</v>
      </c>
      <c r="CM14" s="424" t="s">
        <v>49</v>
      </c>
      <c r="CN14" s="425" t="s">
        <v>110</v>
      </c>
      <c r="CO14" s="432" t="s">
        <v>111</v>
      </c>
      <c r="CP14" s="425" t="s">
        <v>112</v>
      </c>
      <c r="CQ14" s="432" t="s">
        <v>113</v>
      </c>
      <c r="CR14" s="425" t="s">
        <v>114</v>
      </c>
      <c r="CS14" s="426" t="s">
        <v>115</v>
      </c>
      <c r="CT14" s="432" t="s">
        <v>50</v>
      </c>
      <c r="CU14" s="432" t="s">
        <v>116</v>
      </c>
      <c r="CV14" s="432" t="s">
        <v>117</v>
      </c>
      <c r="CW14" s="425" t="s">
        <v>118</v>
      </c>
      <c r="CX14" s="424"/>
      <c r="CY14" s="429" t="s">
        <v>56</v>
      </c>
      <c r="CZ14" s="424" t="s">
        <v>57</v>
      </c>
      <c r="DA14" s="431"/>
      <c r="DB14" s="424" t="s">
        <v>32</v>
      </c>
      <c r="DC14" s="424" t="s">
        <v>58</v>
      </c>
      <c r="DD14" s="432" t="s">
        <v>119</v>
      </c>
      <c r="DE14" s="424" t="s">
        <v>120</v>
      </c>
      <c r="DF14" s="424" t="s">
        <v>121</v>
      </c>
      <c r="DG14" s="424" t="s">
        <v>122</v>
      </c>
      <c r="DH14" s="424" t="s">
        <v>35</v>
      </c>
      <c r="DI14" s="424" t="s">
        <v>123</v>
      </c>
      <c r="DJ14" s="424" t="s">
        <v>124</v>
      </c>
      <c r="DK14" s="424" t="s">
        <v>125</v>
      </c>
      <c r="DL14" s="424" t="s">
        <v>126</v>
      </c>
      <c r="DM14" s="424" t="s">
        <v>127</v>
      </c>
      <c r="DN14" s="424" t="s">
        <v>128</v>
      </c>
      <c r="DO14" s="424" t="s">
        <v>129</v>
      </c>
      <c r="DP14" s="424" t="s">
        <v>130</v>
      </c>
      <c r="DQ14" s="424" t="s">
        <v>131</v>
      </c>
      <c r="DR14" s="424" t="s">
        <v>132</v>
      </c>
      <c r="DS14" s="424" t="s">
        <v>133</v>
      </c>
      <c r="DT14" s="424" t="s">
        <v>134</v>
      </c>
      <c r="DU14" s="424" t="s">
        <v>135</v>
      </c>
      <c r="DV14" s="424"/>
      <c r="DW14" s="424" t="s">
        <v>57</v>
      </c>
      <c r="DX14" s="431"/>
      <c r="DY14" s="424" t="s">
        <v>32</v>
      </c>
      <c r="DZ14" s="183" t="s">
        <v>33</v>
      </c>
      <c r="EA14" s="427" t="s">
        <v>136</v>
      </c>
      <c r="EB14" s="427" t="s">
        <v>137</v>
      </c>
      <c r="EC14" s="427" t="s">
        <v>78</v>
      </c>
      <c r="ED14" s="427" t="s">
        <v>48</v>
      </c>
      <c r="EE14" s="424" t="s">
        <v>138</v>
      </c>
      <c r="EF14" s="432" t="s">
        <v>139</v>
      </c>
      <c r="EG14" s="427" t="s">
        <v>140</v>
      </c>
      <c r="EH14" s="427"/>
      <c r="EI14" s="429" t="s">
        <v>56</v>
      </c>
      <c r="EJ14" s="430" t="s">
        <v>57</v>
      </c>
      <c r="EK14" s="14"/>
      <c r="EL14" s="410" t="s">
        <v>141</v>
      </c>
      <c r="EM14" s="544"/>
      <c r="EN14" s="415" t="s">
        <v>142</v>
      </c>
      <c r="EO14" s="411"/>
      <c r="EP14" s="421" t="s">
        <v>143</v>
      </c>
      <c r="EQ14" s="468" t="s">
        <v>1</v>
      </c>
      <c r="ER14"/>
      <c r="ES14" s="12" t="s">
        <v>32</v>
      </c>
      <c r="ET14" s="15" t="s">
        <v>34</v>
      </c>
      <c r="EU14" s="15" t="s">
        <v>36</v>
      </c>
      <c r="EV14" s="15" t="s">
        <v>45</v>
      </c>
      <c r="EW14" s="15" t="s">
        <v>46</v>
      </c>
      <c r="EX14" s="544" t="s">
        <v>144</v>
      </c>
      <c r="EY14" s="26" t="s">
        <v>145</v>
      </c>
      <c r="EZ14" s="26" t="s">
        <v>146</v>
      </c>
      <c r="FA14" s="26" t="s">
        <v>147</v>
      </c>
      <c r="FB14" s="26" t="s">
        <v>148</v>
      </c>
      <c r="FC14" s="26" t="s">
        <v>149</v>
      </c>
      <c r="FD14" s="26" t="s">
        <v>150</v>
      </c>
      <c r="FE14" s="26" t="s">
        <v>151</v>
      </c>
      <c r="FF14" s="26" t="s">
        <v>152</v>
      </c>
      <c r="FG14" s="26" t="s">
        <v>153</v>
      </c>
      <c r="FH14" s="26" t="s">
        <v>154</v>
      </c>
      <c r="FI14" s="26" t="s">
        <v>155</v>
      </c>
      <c r="FJ14" s="26" t="s">
        <v>156</v>
      </c>
      <c r="FK14" s="26" t="s">
        <v>157</v>
      </c>
      <c r="FL14" s="26" t="s">
        <v>73</v>
      </c>
      <c r="FM14" s="26" t="s">
        <v>158</v>
      </c>
      <c r="FN14" s="544" t="s">
        <v>159</v>
      </c>
      <c r="FO14" s="26" t="s">
        <v>160</v>
      </c>
      <c r="FP14" s="26" t="s">
        <v>161</v>
      </c>
      <c r="FQ14" s="26" t="s">
        <v>162</v>
      </c>
      <c r="FR14" s="16" t="s">
        <v>38</v>
      </c>
      <c r="FS14" s="26" t="s">
        <v>163</v>
      </c>
      <c r="FT14" s="544" t="s">
        <v>39</v>
      </c>
      <c r="FU14" s="544" t="s">
        <v>40</v>
      </c>
      <c r="FV14" s="26" t="s">
        <v>164</v>
      </c>
      <c r="FW14" s="544" t="s">
        <v>41</v>
      </c>
      <c r="FX14" s="26" t="s">
        <v>165</v>
      </c>
      <c r="FY14" s="544" t="s">
        <v>42</v>
      </c>
      <c r="FZ14" s="26" t="s">
        <v>166</v>
      </c>
      <c r="GA14" s="26" t="s">
        <v>167</v>
      </c>
      <c r="GB14" s="26" t="s">
        <v>168</v>
      </c>
      <c r="GC14" s="26" t="s">
        <v>94</v>
      </c>
      <c r="GD14" s="544" t="s">
        <v>43</v>
      </c>
      <c r="GE14" s="26" t="s">
        <v>169</v>
      </c>
      <c r="GF14" s="26" t="s">
        <v>170</v>
      </c>
      <c r="GG14" s="16" t="s">
        <v>171</v>
      </c>
      <c r="GH14" s="26" t="s">
        <v>172</v>
      </c>
      <c r="GI14" s="26" t="s">
        <v>98</v>
      </c>
      <c r="GJ14" s="26" t="s">
        <v>173</v>
      </c>
      <c r="GK14" s="26" t="s">
        <v>174</v>
      </c>
      <c r="GL14" s="26" t="s">
        <v>175</v>
      </c>
      <c r="GM14" s="26" t="s">
        <v>176</v>
      </c>
      <c r="GN14" s="26" t="s">
        <v>177</v>
      </c>
      <c r="GO14" s="26" t="s">
        <v>178</v>
      </c>
      <c r="GP14" s="544" t="s">
        <v>47</v>
      </c>
      <c r="GQ14" s="26" t="s">
        <v>105</v>
      </c>
      <c r="GR14" s="26" t="s">
        <v>179</v>
      </c>
      <c r="GS14" s="26" t="s">
        <v>180</v>
      </c>
      <c r="GT14" s="544" t="s">
        <v>49</v>
      </c>
      <c r="GU14" s="26" t="s">
        <v>181</v>
      </c>
      <c r="GV14" s="171" t="s">
        <v>50</v>
      </c>
      <c r="GW14" s="26" t="s">
        <v>182</v>
      </c>
      <c r="GX14" s="26" t="s">
        <v>183</v>
      </c>
      <c r="GY14" s="26" t="s">
        <v>184</v>
      </c>
      <c r="GZ14" s="26"/>
      <c r="HA14" s="17" t="s">
        <v>54</v>
      </c>
      <c r="HB14" s="16" t="s">
        <v>55</v>
      </c>
      <c r="HC14" s="79" t="s">
        <v>56</v>
      </c>
      <c r="HD14" s="13" t="s">
        <v>57</v>
      </c>
      <c r="HE14" s="14"/>
      <c r="HF14" s="12" t="s">
        <v>32</v>
      </c>
      <c r="HG14" s="16" t="s">
        <v>144</v>
      </c>
      <c r="HH14" s="16" t="s">
        <v>61</v>
      </c>
      <c r="HI14" s="27" t="s">
        <v>62</v>
      </c>
      <c r="HJ14" s="16" t="s">
        <v>63</v>
      </c>
      <c r="HK14" s="27" t="s">
        <v>185</v>
      </c>
      <c r="HL14" s="27" t="s">
        <v>186</v>
      </c>
      <c r="HM14" s="16" t="s">
        <v>64</v>
      </c>
      <c r="HN14" s="16" t="s">
        <v>65</v>
      </c>
      <c r="HO14" s="27" t="s">
        <v>187</v>
      </c>
      <c r="HP14" s="27" t="s">
        <v>188</v>
      </c>
      <c r="HQ14" s="27" t="s">
        <v>189</v>
      </c>
      <c r="HR14" s="27" t="s">
        <v>190</v>
      </c>
      <c r="HS14" s="16" t="s">
        <v>191</v>
      </c>
      <c r="HT14" s="27" t="s">
        <v>192</v>
      </c>
      <c r="HU14" s="16" t="s">
        <v>69</v>
      </c>
      <c r="HV14" s="27" t="s">
        <v>193</v>
      </c>
      <c r="HW14" s="27" t="s">
        <v>194</v>
      </c>
      <c r="HX14" s="16" t="s">
        <v>70</v>
      </c>
      <c r="HY14" s="27" t="s">
        <v>195</v>
      </c>
      <c r="HZ14" s="27" t="s">
        <v>196</v>
      </c>
      <c r="IA14" s="27" t="s">
        <v>197</v>
      </c>
      <c r="IB14" s="16" t="s">
        <v>71</v>
      </c>
      <c r="IC14" s="27" t="s">
        <v>198</v>
      </c>
      <c r="ID14" s="27" t="s">
        <v>199</v>
      </c>
      <c r="IE14" s="27" t="s">
        <v>200</v>
      </c>
      <c r="IF14" s="27" t="s">
        <v>201</v>
      </c>
      <c r="IG14" s="27" t="s">
        <v>202</v>
      </c>
      <c r="IH14" s="27" t="s">
        <v>203</v>
      </c>
      <c r="II14" s="16" t="s">
        <v>76</v>
      </c>
      <c r="IJ14" s="27" t="s">
        <v>204</v>
      </c>
      <c r="IK14" s="16" t="s">
        <v>38</v>
      </c>
      <c r="IL14" s="16" t="s">
        <v>205</v>
      </c>
      <c r="IM14" s="16" t="s">
        <v>81</v>
      </c>
      <c r="IN14" s="16" t="s">
        <v>82</v>
      </c>
      <c r="IO14" s="16" t="s">
        <v>85</v>
      </c>
      <c r="IP14" s="16" t="s">
        <v>86</v>
      </c>
      <c r="IQ14" s="27" t="s">
        <v>206</v>
      </c>
      <c r="IR14" s="16" t="s">
        <v>89</v>
      </c>
      <c r="IS14" s="16" t="s">
        <v>41</v>
      </c>
      <c r="IT14" s="27" t="s">
        <v>207</v>
      </c>
      <c r="IU14" s="27" t="s">
        <v>208</v>
      </c>
      <c r="IV14" s="16" t="s">
        <v>90</v>
      </c>
      <c r="IW14" s="27" t="s">
        <v>209</v>
      </c>
      <c r="IX14" s="27" t="s">
        <v>42</v>
      </c>
      <c r="IY14" s="27" t="s">
        <v>210</v>
      </c>
      <c r="IZ14" s="27" t="s">
        <v>211</v>
      </c>
      <c r="JA14" s="27" t="s">
        <v>212</v>
      </c>
      <c r="JB14" s="27" t="s">
        <v>213</v>
      </c>
      <c r="JC14" s="27" t="s">
        <v>214</v>
      </c>
      <c r="JD14" s="27" t="s">
        <v>215</v>
      </c>
      <c r="JE14" s="27" t="s">
        <v>216</v>
      </c>
      <c r="JF14" s="27" t="s">
        <v>217</v>
      </c>
      <c r="JG14" s="27" t="s">
        <v>218</v>
      </c>
      <c r="JH14" s="16" t="s">
        <v>93</v>
      </c>
      <c r="JI14" s="27" t="s">
        <v>219</v>
      </c>
      <c r="JJ14" s="27" t="s">
        <v>220</v>
      </c>
      <c r="JK14" s="27" t="s">
        <v>221</v>
      </c>
      <c r="JL14" s="27" t="s">
        <v>222</v>
      </c>
      <c r="JM14" s="27" t="s">
        <v>223</v>
      </c>
      <c r="JN14" s="27" t="s">
        <v>224</v>
      </c>
      <c r="JO14" s="27" t="s">
        <v>225</v>
      </c>
      <c r="JP14" s="27" t="s">
        <v>226</v>
      </c>
      <c r="JQ14" s="27" t="s">
        <v>227</v>
      </c>
      <c r="JR14" s="27" t="s">
        <v>228</v>
      </c>
      <c r="JS14" s="16" t="s">
        <v>99</v>
      </c>
      <c r="JT14" s="27" t="s">
        <v>229</v>
      </c>
      <c r="JU14" s="27" t="s">
        <v>230</v>
      </c>
      <c r="JV14" s="27" t="s">
        <v>231</v>
      </c>
      <c r="JW14" s="16" t="s">
        <v>104</v>
      </c>
      <c r="JX14" s="16" t="s">
        <v>232</v>
      </c>
      <c r="JY14" s="16" t="s">
        <v>233</v>
      </c>
      <c r="JZ14" s="27" t="s">
        <v>234</v>
      </c>
      <c r="KA14" s="27" t="s">
        <v>235</v>
      </c>
      <c r="KB14" s="16" t="s">
        <v>106</v>
      </c>
      <c r="KC14" s="27" t="s">
        <v>236</v>
      </c>
      <c r="KD14" s="27" t="s">
        <v>237</v>
      </c>
      <c r="KE14" s="27" t="s">
        <v>238</v>
      </c>
      <c r="KF14" s="27" t="s">
        <v>239</v>
      </c>
      <c r="KG14" s="27" t="s">
        <v>49</v>
      </c>
      <c r="KH14" s="27" t="s">
        <v>240</v>
      </c>
      <c r="KI14" s="16" t="s">
        <v>111</v>
      </c>
      <c r="KJ14" s="27" t="s">
        <v>241</v>
      </c>
      <c r="KK14" s="27" t="s">
        <v>242</v>
      </c>
      <c r="KL14" s="16" t="s">
        <v>113</v>
      </c>
      <c r="KM14" s="27" t="s">
        <v>243</v>
      </c>
      <c r="KN14" s="16" t="s">
        <v>244</v>
      </c>
      <c r="KO14" s="27" t="s">
        <v>245</v>
      </c>
      <c r="KP14" s="16" t="s">
        <v>116</v>
      </c>
      <c r="KQ14" s="16" t="s">
        <v>246</v>
      </c>
      <c r="KR14" s="27" t="s">
        <v>247</v>
      </c>
      <c r="KS14" s="27" t="s">
        <v>248</v>
      </c>
      <c r="KT14" s="27" t="s">
        <v>249</v>
      </c>
      <c r="KU14" s="27" t="s">
        <v>250</v>
      </c>
      <c r="KV14" s="26" t="s">
        <v>251</v>
      </c>
      <c r="KW14" s="544"/>
      <c r="KX14" s="17" t="s">
        <v>54</v>
      </c>
      <c r="KY14" s="16" t="s">
        <v>55</v>
      </c>
      <c r="KZ14" s="79" t="s">
        <v>56</v>
      </c>
      <c r="LA14" s="13" t="s">
        <v>57</v>
      </c>
      <c r="LB14" s="14"/>
      <c r="LC14" s="42" t="s">
        <v>32</v>
      </c>
      <c r="LD14" s="16" t="s">
        <v>252</v>
      </c>
      <c r="LE14" s="16" t="s">
        <v>60</v>
      </c>
      <c r="LF14" s="16" t="s">
        <v>62</v>
      </c>
      <c r="LG14" s="16" t="s">
        <v>119</v>
      </c>
      <c r="LH14" s="26" t="s">
        <v>63</v>
      </c>
      <c r="LI14" s="544" t="s">
        <v>67</v>
      </c>
      <c r="LJ14" s="26" t="s">
        <v>253</v>
      </c>
      <c r="LK14" s="26" t="s">
        <v>188</v>
      </c>
      <c r="LL14" s="544" t="s">
        <v>120</v>
      </c>
      <c r="LM14" s="544" t="s">
        <v>121</v>
      </c>
      <c r="LN14" s="26" t="s">
        <v>194</v>
      </c>
      <c r="LO14" s="26" t="s">
        <v>197</v>
      </c>
      <c r="LP14" s="26" t="s">
        <v>254</v>
      </c>
      <c r="LQ14" s="544" t="s">
        <v>198</v>
      </c>
      <c r="LR14" s="544" t="s">
        <v>75</v>
      </c>
      <c r="LS14" s="26" t="s">
        <v>255</v>
      </c>
      <c r="LT14" s="544" t="s">
        <v>122</v>
      </c>
      <c r="LU14" s="26" t="s">
        <v>256</v>
      </c>
      <c r="LV14" s="26" t="s">
        <v>257</v>
      </c>
      <c r="LW14" s="26" t="s">
        <v>204</v>
      </c>
      <c r="LX14" s="26" t="s">
        <v>81</v>
      </c>
      <c r="LY14" s="544" t="s">
        <v>83</v>
      </c>
      <c r="LZ14" s="544" t="s">
        <v>125</v>
      </c>
      <c r="MA14" s="26" t="s">
        <v>258</v>
      </c>
      <c r="MB14" s="26" t="s">
        <v>209</v>
      </c>
      <c r="MC14" s="26" t="s">
        <v>42</v>
      </c>
      <c r="MD14" s="544" t="s">
        <v>126</v>
      </c>
      <c r="ME14" s="544" t="s">
        <v>211</v>
      </c>
      <c r="MF14" s="265" t="s">
        <v>212</v>
      </c>
      <c r="MG14" s="26" t="s">
        <v>213</v>
      </c>
      <c r="MH14" s="26" t="s">
        <v>214</v>
      </c>
      <c r="MI14" s="544" t="s">
        <v>127</v>
      </c>
      <c r="MJ14" s="26" t="s">
        <v>221</v>
      </c>
      <c r="MK14" s="26" t="s">
        <v>43</v>
      </c>
      <c r="ML14" s="26" t="s">
        <v>259</v>
      </c>
      <c r="MM14" s="544" t="s">
        <v>260</v>
      </c>
      <c r="MN14" s="544" t="s">
        <v>228</v>
      </c>
      <c r="MO14" s="26" t="s">
        <v>261</v>
      </c>
      <c r="MP14" s="26" t="s">
        <v>262</v>
      </c>
      <c r="MQ14" s="544" t="s">
        <v>99</v>
      </c>
      <c r="MR14" s="26" t="s">
        <v>263</v>
      </c>
      <c r="MS14" s="26" t="s">
        <v>229</v>
      </c>
      <c r="MT14" s="544" t="s">
        <v>128</v>
      </c>
      <c r="MU14" s="544" t="s">
        <v>129</v>
      </c>
      <c r="MV14" s="544" t="s">
        <v>130</v>
      </c>
      <c r="MW14" s="26" t="s">
        <v>264</v>
      </c>
      <c r="MX14" s="544" t="s">
        <v>131</v>
      </c>
      <c r="MY14" s="26" t="s">
        <v>265</v>
      </c>
      <c r="MZ14" s="26" t="s">
        <v>266</v>
      </c>
      <c r="NA14" s="544" t="s">
        <v>232</v>
      </c>
      <c r="NB14" s="26" t="s">
        <v>233</v>
      </c>
      <c r="NC14" s="544" t="s">
        <v>132</v>
      </c>
      <c r="ND14" s="544" t="s">
        <v>133</v>
      </c>
      <c r="NE14" s="544" t="s">
        <v>134</v>
      </c>
      <c r="NF14" s="544" t="s">
        <v>135</v>
      </c>
      <c r="NG14" s="544" t="s">
        <v>49</v>
      </c>
      <c r="NH14" s="544" t="s">
        <v>113</v>
      </c>
      <c r="NI14" s="544" t="s">
        <v>267</v>
      </c>
      <c r="NJ14" s="26" t="s">
        <v>268</v>
      </c>
      <c r="NK14" s="544" t="s">
        <v>245</v>
      </c>
      <c r="NL14" s="26" t="s">
        <v>269</v>
      </c>
      <c r="NM14" s="544" t="s">
        <v>116</v>
      </c>
      <c r="NN14" s="544" t="s">
        <v>270</v>
      </c>
      <c r="NO14" s="79"/>
      <c r="NP14" s="62" t="s">
        <v>54</v>
      </c>
      <c r="NQ14" s="16" t="s">
        <v>55</v>
      </c>
      <c r="NR14" s="79" t="s">
        <v>56</v>
      </c>
      <c r="NS14" s="13" t="s">
        <v>57</v>
      </c>
      <c r="NT14" s="14"/>
      <c r="NU14" s="544" t="s">
        <v>32</v>
      </c>
      <c r="NV14" s="544" t="s">
        <v>252</v>
      </c>
      <c r="NW14" s="26" t="s">
        <v>271</v>
      </c>
      <c r="NX14" s="26" t="s">
        <v>272</v>
      </c>
      <c r="NY14" s="26" t="s">
        <v>257</v>
      </c>
      <c r="NZ14" s="26" t="s">
        <v>273</v>
      </c>
      <c r="OA14" s="544" t="s">
        <v>138</v>
      </c>
      <c r="OB14" s="16" t="s">
        <v>139</v>
      </c>
      <c r="OC14" s="26" t="s">
        <v>274</v>
      </c>
      <c r="OD14" s="26"/>
      <c r="OE14" s="79" t="s">
        <v>56</v>
      </c>
      <c r="OF14" s="13" t="s">
        <v>57</v>
      </c>
      <c r="OG14" s="14"/>
      <c r="OH14" s="544" t="s">
        <v>32</v>
      </c>
      <c r="OI14" s="544" t="s">
        <v>275</v>
      </c>
      <c r="OJ14" s="39" t="s">
        <v>276</v>
      </c>
      <c r="OK14" s="39" t="s">
        <v>277</v>
      </c>
      <c r="OL14" s="39" t="s">
        <v>278</v>
      </c>
      <c r="OM14" s="39" t="s">
        <v>279</v>
      </c>
      <c r="ON14" s="39" t="s">
        <v>280</v>
      </c>
      <c r="OO14" s="39" t="s">
        <v>35</v>
      </c>
      <c r="OP14" s="39" t="s">
        <v>265</v>
      </c>
      <c r="OQ14" s="544"/>
      <c r="OR14" s="79" t="s">
        <v>56</v>
      </c>
      <c r="OS14" s="34" t="s">
        <v>57</v>
      </c>
      <c r="OT14" s="36"/>
      <c r="OU14" s="90" t="s">
        <v>281</v>
      </c>
      <c r="OV14" s="68" t="s">
        <v>282</v>
      </c>
      <c r="OW14" s="91" t="s">
        <v>283</v>
      </c>
      <c r="OX14" s="92" t="s">
        <v>284</v>
      </c>
      <c r="OY14" s="81" t="s">
        <v>285</v>
      </c>
      <c r="OZ14" s="93" t="s">
        <v>281</v>
      </c>
      <c r="PA14" s="81" t="s">
        <v>282</v>
      </c>
      <c r="PB14" s="92" t="s">
        <v>283</v>
      </c>
      <c r="PC14" s="92" t="s">
        <v>284</v>
      </c>
      <c r="PD14" s="81" t="s">
        <v>285</v>
      </c>
      <c r="PE14" s="94" t="s">
        <v>281</v>
      </c>
      <c r="PF14" s="81" t="s">
        <v>282</v>
      </c>
      <c r="PG14" s="94" t="s">
        <v>281</v>
      </c>
      <c r="PH14" s="81" t="s">
        <v>282</v>
      </c>
      <c r="PI14" s="95" t="s">
        <v>281</v>
      </c>
      <c r="PJ14" s="96" t="s">
        <v>286</v>
      </c>
      <c r="PK14" s="97" t="s">
        <v>287</v>
      </c>
      <c r="PL14" s="92" t="s">
        <v>283</v>
      </c>
      <c r="PM14" s="92" t="s">
        <v>284</v>
      </c>
      <c r="PN14" s="81" t="s">
        <v>285</v>
      </c>
      <c r="PO14" s="98" t="s">
        <v>288</v>
      </c>
      <c r="PP14" s="99" t="s">
        <v>289</v>
      </c>
      <c r="PQ14" s="59" t="s">
        <v>290</v>
      </c>
      <c r="PR14" s="301" t="s">
        <v>1</v>
      </c>
    </row>
    <row r="15" spans="1:434" s="1" customFormat="1" ht="0.65" customHeight="1" x14ac:dyDescent="0.45">
      <c r="A15" s="18">
        <v>42916</v>
      </c>
      <c r="B15" s="3" t="s">
        <v>291</v>
      </c>
      <c r="C15" s="4">
        <v>61630</v>
      </c>
      <c r="D15" s="10">
        <v>13574</v>
      </c>
      <c r="E15" s="10"/>
      <c r="F15" s="10">
        <v>89271</v>
      </c>
      <c r="G15" s="4"/>
      <c r="H15" s="4"/>
      <c r="I15" s="4"/>
      <c r="J15" s="4"/>
      <c r="K15" s="4"/>
      <c r="L15" s="4"/>
      <c r="M15" s="4"/>
      <c r="N15" s="4"/>
      <c r="O15" s="10">
        <v>116311</v>
      </c>
      <c r="P15" s="4">
        <v>124348</v>
      </c>
      <c r="Q15" s="4"/>
      <c r="R15" s="4"/>
      <c r="S15" s="4"/>
      <c r="T15" s="4"/>
      <c r="U15" s="10">
        <v>52338</v>
      </c>
      <c r="V15" s="10"/>
      <c r="W15" s="10"/>
      <c r="X15" s="4"/>
      <c r="Y15" s="18"/>
      <c r="Z15" s="4"/>
      <c r="AA15" s="77"/>
      <c r="AB15" s="8">
        <f t="shared" ref="AB15:AB28" si="0">IF(A15="","",SUM(C15:X15))</f>
        <v>457472</v>
      </c>
      <c r="AC15" s="2"/>
      <c r="AD15" s="3" t="s">
        <v>291</v>
      </c>
      <c r="AE15" s="4">
        <v>222441</v>
      </c>
      <c r="AF15" s="4">
        <v>324562</v>
      </c>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v>105780</v>
      </c>
      <c r="CD15" s="4"/>
      <c r="CE15" s="4"/>
      <c r="CF15" s="4"/>
      <c r="CG15" s="4"/>
      <c r="CH15" s="4"/>
      <c r="CI15" s="4"/>
      <c r="CJ15" s="10">
        <v>15629</v>
      </c>
      <c r="CK15" s="10">
        <v>43350</v>
      </c>
      <c r="CL15" s="10">
        <v>23099</v>
      </c>
      <c r="CM15" s="10"/>
      <c r="CN15" s="10">
        <v>61238</v>
      </c>
      <c r="CO15" s="10"/>
      <c r="CP15" s="10">
        <v>49602</v>
      </c>
      <c r="CQ15" s="10"/>
      <c r="CR15" s="10">
        <v>13539</v>
      </c>
      <c r="CS15" s="10"/>
      <c r="CT15" s="10"/>
      <c r="CU15" s="10"/>
      <c r="CV15" s="10"/>
      <c r="CW15" s="4"/>
      <c r="CX15" s="4"/>
      <c r="CY15" s="77"/>
      <c r="CZ15" s="8">
        <f t="shared" ref="CZ15:CZ22" si="1">IF(A15="","",SUM(AE15:CX15))</f>
        <v>859240</v>
      </c>
      <c r="DA15" s="2"/>
      <c r="DD15" s="4"/>
      <c r="DE15" s="4"/>
      <c r="DF15" s="4"/>
      <c r="DG15" s="4"/>
      <c r="DH15" s="4"/>
      <c r="DJ15" s="4"/>
      <c r="DK15" s="4"/>
      <c r="DL15" s="4"/>
      <c r="DM15" s="4"/>
      <c r="DN15" s="4"/>
      <c r="DO15" s="4"/>
      <c r="DP15" s="4"/>
      <c r="DQ15" s="4"/>
      <c r="DR15" s="10"/>
      <c r="DS15" s="10"/>
      <c r="DT15" s="10"/>
      <c r="DU15" s="10"/>
      <c r="DX15" s="2"/>
      <c r="DY15" s="32"/>
      <c r="DZ15" s="4">
        <v>6305</v>
      </c>
      <c r="EA15" s="32"/>
      <c r="EB15" s="32"/>
      <c r="EC15" s="32"/>
      <c r="ED15" s="32"/>
      <c r="EE15" s="4"/>
      <c r="EF15" s="4"/>
      <c r="EG15" s="32"/>
      <c r="EH15" s="32"/>
      <c r="EI15" s="32"/>
      <c r="EJ15" s="32"/>
      <c r="EK15" s="5"/>
      <c r="EO15" s="2"/>
      <c r="EQ15" s="468" t="s">
        <v>1</v>
      </c>
      <c r="ER15"/>
      <c r="ES15" s="6" t="s">
        <v>291</v>
      </c>
      <c r="ET15" s="10"/>
      <c r="EU15" s="10"/>
      <c r="EV15" s="10"/>
      <c r="EW15" s="10"/>
      <c r="EX15" s="4"/>
      <c r="EY15" s="4"/>
      <c r="EZ15" s="4"/>
      <c r="FA15" s="4"/>
      <c r="FB15" s="4"/>
      <c r="FC15" s="4"/>
      <c r="FD15" s="4"/>
      <c r="FE15" s="4"/>
      <c r="FF15" s="4"/>
      <c r="FG15" s="4"/>
      <c r="FH15" s="10"/>
      <c r="FI15" s="10"/>
      <c r="FJ15" s="10"/>
      <c r="FK15" s="10"/>
      <c r="FL15" s="10"/>
      <c r="FM15" s="10"/>
      <c r="FN15" s="4"/>
      <c r="FO15" s="4"/>
      <c r="FP15" s="10"/>
      <c r="FQ15" s="4"/>
      <c r="FR15" s="4"/>
      <c r="FS15" s="10"/>
      <c r="FT15" s="4"/>
      <c r="FU15" s="4"/>
      <c r="FV15" s="4"/>
      <c r="FW15" s="4"/>
      <c r="FX15" s="4"/>
      <c r="FY15" s="4"/>
      <c r="FZ15" s="10"/>
      <c r="GA15" s="10"/>
      <c r="GB15" s="10"/>
      <c r="GC15" s="10"/>
      <c r="GD15" s="4"/>
      <c r="GE15" s="4"/>
      <c r="GF15" s="4"/>
      <c r="GG15" s="4"/>
      <c r="GH15" s="4"/>
      <c r="GI15" s="4"/>
      <c r="GJ15" s="4"/>
      <c r="GK15" s="4"/>
      <c r="GL15" s="4"/>
      <c r="GM15" s="4"/>
      <c r="GN15" s="10"/>
      <c r="GO15" s="10"/>
      <c r="GP15" s="4"/>
      <c r="GQ15" s="10"/>
      <c r="GR15" s="4"/>
      <c r="GS15" s="10"/>
      <c r="GT15" s="4"/>
      <c r="GU15" s="10"/>
      <c r="GV15" s="4"/>
      <c r="GW15" s="10"/>
      <c r="GX15" s="10"/>
      <c r="GY15" s="10"/>
      <c r="GZ15" s="10"/>
      <c r="HA15" s="18"/>
      <c r="HB15" s="4"/>
      <c r="HC15" s="77"/>
      <c r="HD15" s="8">
        <f t="shared" ref="HD15:HD22" si="2">IF(A15="","",SUM(ET15:GZ15))</f>
        <v>0</v>
      </c>
      <c r="HE15" s="2"/>
      <c r="HF15" s="3" t="s">
        <v>291</v>
      </c>
      <c r="HG15" s="4"/>
      <c r="HH15" s="4"/>
      <c r="HI15" s="4"/>
      <c r="HJ15" s="4"/>
      <c r="HK15" s="4"/>
      <c r="HL15" s="4"/>
      <c r="HM15" s="4"/>
      <c r="HN15" s="4"/>
      <c r="HO15" s="4"/>
      <c r="HP15" s="4"/>
      <c r="HQ15" s="4"/>
      <c r="HR15" s="4"/>
      <c r="HS15" s="4"/>
      <c r="HT15" s="10"/>
      <c r="HU15" s="10"/>
      <c r="HV15" s="4"/>
      <c r="HW15" s="4"/>
      <c r="HX15" s="4"/>
      <c r="HY15" s="4"/>
      <c r="HZ15" s="4"/>
      <c r="IA15" s="4"/>
      <c r="IB15" s="4"/>
      <c r="IC15" s="4"/>
      <c r="ID15" s="10"/>
      <c r="IE15" s="4"/>
      <c r="IF15" s="10"/>
      <c r="IG15" s="4"/>
      <c r="IH15" s="4"/>
      <c r="II15" s="4"/>
      <c r="IJ15" s="4"/>
      <c r="IK15" s="4"/>
      <c r="IL15" s="4"/>
      <c r="IM15" s="4"/>
      <c r="IN15" s="4"/>
      <c r="IO15" s="4"/>
      <c r="IP15" s="4"/>
      <c r="IQ15" s="4"/>
      <c r="IR15" s="4"/>
      <c r="IS15" s="4"/>
      <c r="IT15" s="10"/>
      <c r="IU15" s="4"/>
      <c r="IV15" s="4"/>
      <c r="IW15" s="4"/>
      <c r="IX15" s="10"/>
      <c r="IY15" s="4"/>
      <c r="IZ15" s="4"/>
      <c r="JA15" s="4"/>
      <c r="JB15" s="4"/>
      <c r="JC15" s="4"/>
      <c r="JD15" s="4"/>
      <c r="JE15" s="4"/>
      <c r="JF15" s="10"/>
      <c r="JG15" s="10"/>
      <c r="JH15" s="10"/>
      <c r="JI15" s="4"/>
      <c r="JJ15" s="4"/>
      <c r="JK15" s="4"/>
      <c r="JL15" s="4"/>
      <c r="JM15" s="4"/>
      <c r="JN15" s="10"/>
      <c r="JO15" s="10"/>
      <c r="JP15" s="4"/>
      <c r="JQ15" s="4"/>
      <c r="JR15" s="4"/>
      <c r="JS15" s="4"/>
      <c r="JT15" s="4"/>
      <c r="JU15" s="10"/>
      <c r="JV15" s="4"/>
      <c r="JW15" s="4"/>
      <c r="JX15" s="4"/>
      <c r="JY15" s="4"/>
      <c r="JZ15" s="4"/>
      <c r="KA15" s="4"/>
      <c r="KB15" s="4"/>
      <c r="KC15" s="4"/>
      <c r="KD15" s="10"/>
      <c r="KE15" s="10"/>
      <c r="KF15" s="10"/>
      <c r="KG15" s="4"/>
      <c r="KH15" s="10"/>
      <c r="KI15" s="10"/>
      <c r="KJ15" s="10"/>
      <c r="KK15" s="10"/>
      <c r="KL15" s="4"/>
      <c r="KM15" s="10"/>
      <c r="KN15" s="4"/>
      <c r="KO15" s="4"/>
      <c r="KP15" s="4"/>
      <c r="KQ15" s="4"/>
      <c r="KR15" s="10"/>
      <c r="KS15" s="4"/>
      <c r="KT15" s="4"/>
      <c r="KU15" s="4"/>
      <c r="KV15" s="4"/>
      <c r="KW15" s="4"/>
      <c r="KX15" s="18"/>
      <c r="KY15" s="4"/>
      <c r="KZ15" s="77"/>
      <c r="LA15" s="8">
        <f t="shared" ref="LA15:LA22" si="3">IF(A15="","",SUM(HG15:KW15))</f>
        <v>0</v>
      </c>
      <c r="LB15" s="2"/>
      <c r="LC15" s="43"/>
      <c r="MO15" s="172"/>
      <c r="NO15" s="77"/>
      <c r="NP15" s="63"/>
      <c r="NQ15"/>
      <c r="NR15" s="77"/>
      <c r="NS15" s="8">
        <f t="shared" ref="NS15:NS46" si="4">IF(A15="","",SUM(LD15:NM15))</f>
        <v>0</v>
      </c>
      <c r="NT15" s="2"/>
      <c r="NU15" s="3" t="s">
        <v>291</v>
      </c>
      <c r="NV15" s="4">
        <v>6305</v>
      </c>
      <c r="NW15" s="4"/>
      <c r="NX15" s="4">
        <v>24694</v>
      </c>
      <c r="NY15" s="4"/>
      <c r="NZ15" s="4">
        <v>25670</v>
      </c>
      <c r="OA15" s="4"/>
      <c r="OB15" s="4"/>
      <c r="OC15" s="4"/>
      <c r="OD15" s="4"/>
      <c r="OE15" s="77"/>
      <c r="OF15" s="8">
        <f t="shared" ref="OF15:OF46" si="5">IF(A15="","",SUM(NV15:OD15))</f>
        <v>56669</v>
      </c>
      <c r="OG15" s="2"/>
      <c r="OJ15" s="40"/>
      <c r="OK15" s="40"/>
      <c r="OL15" s="40"/>
      <c r="OM15" s="40"/>
      <c r="ON15" s="40"/>
      <c r="OO15" s="40"/>
      <c r="OQ15" s="40"/>
      <c r="OR15" s="77"/>
      <c r="OS15" s="35"/>
      <c r="OT15" s="37"/>
      <c r="OU15" s="100">
        <f t="shared" ref="OU15:OU22" si="6">IF(A15="","",AB15+CZ15+OF15)</f>
        <v>1373381</v>
      </c>
      <c r="OV15" s="69"/>
      <c r="OW15" s="101"/>
      <c r="OX15" s="101"/>
      <c r="OY15" s="102"/>
      <c r="OZ15" s="103">
        <f t="shared" ref="OZ15:OZ22" si="7">IF(A15="","",HD15+LA15)</f>
        <v>0</v>
      </c>
      <c r="PA15" s="82"/>
      <c r="PB15" s="104"/>
      <c r="PC15" s="101"/>
      <c r="PD15" s="102"/>
      <c r="PE15" s="105"/>
      <c r="PF15" s="106"/>
      <c r="PG15" s="105"/>
      <c r="PH15" s="106"/>
      <c r="PI15" s="107">
        <f t="shared" ref="PI15:PI28" si="8">IF(A15="","",OU15+OZ15)</f>
        <v>1373381</v>
      </c>
      <c r="PJ15" s="108"/>
      <c r="PK15" s="109"/>
      <c r="PL15" s="110"/>
      <c r="PM15" s="111"/>
      <c r="PN15" s="112"/>
      <c r="PO15" s="86">
        <f>IF(PI15="","",MAX(PI$15:PI15))</f>
        <v>1373381</v>
      </c>
      <c r="PP15" s="113">
        <f>IF(PI15="","",(PI15-PO15)/PI15)</f>
        <v>0</v>
      </c>
      <c r="PQ15" s="41"/>
      <c r="PR15" s="302"/>
    </row>
    <row r="16" spans="1:434" s="1" customFormat="1" ht="15" customHeight="1" x14ac:dyDescent="0.45">
      <c r="A16" s="22">
        <v>42917</v>
      </c>
      <c r="B16" s="19" t="s">
        <v>292</v>
      </c>
      <c r="C16" s="20">
        <v>61630</v>
      </c>
      <c r="D16" s="21"/>
      <c r="E16" s="21"/>
      <c r="F16" s="21"/>
      <c r="G16" s="20"/>
      <c r="H16" s="20"/>
      <c r="I16" s="20"/>
      <c r="J16" s="20"/>
      <c r="K16" s="20"/>
      <c r="L16" s="20"/>
      <c r="M16" s="20"/>
      <c r="N16" s="20"/>
      <c r="O16" s="21"/>
      <c r="P16" s="20"/>
      <c r="Q16" s="20"/>
      <c r="R16" s="4"/>
      <c r="S16" s="20"/>
      <c r="T16" s="20"/>
      <c r="U16" s="21">
        <v>52338</v>
      </c>
      <c r="V16" s="21"/>
      <c r="W16" s="21"/>
      <c r="X16" s="20"/>
      <c r="Y16" s="22"/>
      <c r="Z16" s="20"/>
      <c r="AA16" s="80"/>
      <c r="AB16" s="23">
        <f t="shared" si="0"/>
        <v>113968</v>
      </c>
      <c r="AC16" s="2"/>
      <c r="AD16" s="24" t="s">
        <v>292</v>
      </c>
      <c r="AE16" s="20">
        <v>111881</v>
      </c>
      <c r="AF16" s="20">
        <v>324562</v>
      </c>
      <c r="AG16" s="20"/>
      <c r="AH16" s="20"/>
      <c r="AJ16" s="20"/>
      <c r="AK16" s="20"/>
      <c r="AL16" s="20"/>
      <c r="AM16" s="20"/>
      <c r="AO16" s="20"/>
      <c r="AP16" s="21"/>
      <c r="AQ16" s="20"/>
      <c r="AR16" s="20"/>
      <c r="AS16" s="20"/>
      <c r="AT16" s="20"/>
      <c r="AU16" s="20"/>
      <c r="AW16" s="20"/>
      <c r="AX16" s="20"/>
      <c r="AY16" s="20"/>
      <c r="AZ16" s="20"/>
      <c r="BA16" s="20"/>
      <c r="BB16" s="20"/>
      <c r="BC16" s="20"/>
      <c r="BD16" s="20"/>
      <c r="BE16" s="20"/>
      <c r="BF16" s="20"/>
      <c r="BH16" s="20"/>
      <c r="BI16" s="20"/>
      <c r="BJ16" s="20"/>
      <c r="BK16" s="20"/>
      <c r="BL16" s="20"/>
      <c r="BM16" s="20"/>
      <c r="BN16" s="20"/>
      <c r="BO16" s="20"/>
      <c r="BP16" s="20"/>
      <c r="BQ16" s="20"/>
      <c r="BS16" s="21"/>
      <c r="BT16" s="20"/>
      <c r="BU16" s="20"/>
      <c r="BV16" s="20"/>
      <c r="BW16" s="20"/>
      <c r="CA16" s="20"/>
      <c r="CB16" s="20"/>
      <c r="CC16" s="20">
        <v>105780</v>
      </c>
      <c r="CD16" s="20"/>
      <c r="CE16" s="20"/>
      <c r="CF16" s="20"/>
      <c r="CG16" s="20"/>
      <c r="CH16" s="20"/>
      <c r="CI16" s="20"/>
      <c r="CJ16" s="21"/>
      <c r="CK16" s="21">
        <v>316</v>
      </c>
      <c r="CL16" s="21"/>
      <c r="CN16" s="21">
        <v>209</v>
      </c>
      <c r="CO16" s="21"/>
      <c r="CP16" s="21">
        <v>204</v>
      </c>
      <c r="CQ16" s="20"/>
      <c r="CR16" s="21"/>
      <c r="CS16" s="20"/>
      <c r="CT16" s="20"/>
      <c r="CU16" s="20"/>
      <c r="CV16" s="20"/>
      <c r="CW16" s="20"/>
      <c r="CX16" s="20"/>
      <c r="CY16" s="80"/>
      <c r="CZ16" s="8">
        <f t="shared" si="1"/>
        <v>542952</v>
      </c>
      <c r="DA16" s="2"/>
      <c r="DH16" s="20"/>
      <c r="DJ16" s="20"/>
      <c r="DX16" s="2"/>
      <c r="DY16" s="32"/>
      <c r="DZ16" s="20">
        <v>6305</v>
      </c>
      <c r="EA16" s="32"/>
      <c r="EB16" s="32"/>
      <c r="EC16" s="32"/>
      <c r="ED16" s="32"/>
      <c r="EE16" s="20"/>
      <c r="EF16" s="20"/>
      <c r="EG16" s="32"/>
      <c r="EH16" s="32"/>
      <c r="EI16" s="32"/>
      <c r="EJ16" s="32"/>
      <c r="EK16" s="5"/>
      <c r="EO16" s="2"/>
      <c r="EQ16" s="468" t="s">
        <v>1</v>
      </c>
      <c r="ER16"/>
      <c r="ES16" s="19" t="s">
        <v>292</v>
      </c>
      <c r="ET16" s="21">
        <v>13574</v>
      </c>
      <c r="EU16" s="21">
        <v>89271</v>
      </c>
      <c r="EV16" s="21">
        <v>116311</v>
      </c>
      <c r="EW16" s="21">
        <v>124348</v>
      </c>
      <c r="EX16" s="20"/>
      <c r="EY16" s="20"/>
      <c r="EZ16" s="20"/>
      <c r="FA16" s="20"/>
      <c r="FB16" s="20"/>
      <c r="FC16" s="20"/>
      <c r="FD16" s="20"/>
      <c r="FE16" s="20"/>
      <c r="FF16" s="20"/>
      <c r="FG16" s="20"/>
      <c r="FH16" s="21"/>
      <c r="FI16" s="21"/>
      <c r="FJ16" s="21"/>
      <c r="FK16" s="21"/>
      <c r="FL16" s="21"/>
      <c r="FM16" s="21"/>
      <c r="FN16" s="20"/>
      <c r="FO16" s="20"/>
      <c r="FP16" s="21"/>
      <c r="FQ16" s="20"/>
      <c r="FR16" s="20"/>
      <c r="FS16" s="21"/>
      <c r="FT16" s="20"/>
      <c r="FU16" s="20"/>
      <c r="FV16" s="20"/>
      <c r="FW16" s="20"/>
      <c r="FX16" s="20"/>
      <c r="FY16" s="20"/>
      <c r="FZ16" s="21"/>
      <c r="GA16" s="21"/>
      <c r="GB16" s="21"/>
      <c r="GC16" s="21"/>
      <c r="GD16" s="20"/>
      <c r="GE16" s="20"/>
      <c r="GF16" s="20"/>
      <c r="GG16" s="20"/>
      <c r="GH16" s="20"/>
      <c r="GI16" s="20"/>
      <c r="GJ16" s="20"/>
      <c r="GK16" s="20"/>
      <c r="GL16" s="20"/>
      <c r="GM16" s="20"/>
      <c r="GN16" s="21"/>
      <c r="GO16" s="21"/>
      <c r="GP16" s="20"/>
      <c r="GQ16" s="21"/>
      <c r="GR16" s="20"/>
      <c r="GS16" s="21"/>
      <c r="GT16" s="20"/>
      <c r="GU16" s="21"/>
      <c r="GV16" s="20"/>
      <c r="GW16" s="21"/>
      <c r="GX16" s="21"/>
      <c r="GY16" s="21"/>
      <c r="GZ16" s="21"/>
      <c r="HA16" s="22"/>
      <c r="HB16" s="20"/>
      <c r="HC16" s="80"/>
      <c r="HD16" s="23">
        <f t="shared" si="2"/>
        <v>343504</v>
      </c>
      <c r="HE16" s="2"/>
      <c r="HF16" s="24" t="s">
        <v>292</v>
      </c>
      <c r="HG16" s="20">
        <v>110560</v>
      </c>
      <c r="HH16" s="20"/>
      <c r="HI16" s="20"/>
      <c r="HJ16" s="20"/>
      <c r="HK16" s="20"/>
      <c r="HL16" s="20"/>
      <c r="HM16" s="20"/>
      <c r="HN16" s="20"/>
      <c r="HO16" s="20"/>
      <c r="HP16" s="20"/>
      <c r="HQ16" s="20"/>
      <c r="HR16" s="20"/>
      <c r="HS16" s="20"/>
      <c r="HT16" s="21"/>
      <c r="HU16" s="21"/>
      <c r="HV16" s="20"/>
      <c r="HW16" s="20"/>
      <c r="HX16" s="20"/>
      <c r="HY16" s="20"/>
      <c r="HZ16" s="20"/>
      <c r="IA16" s="20"/>
      <c r="IB16" s="20"/>
      <c r="IC16" s="20"/>
      <c r="ID16" s="21"/>
      <c r="IE16" s="20"/>
      <c r="IF16" s="21"/>
      <c r="IG16" s="20"/>
      <c r="IH16" s="20"/>
      <c r="II16" s="20"/>
      <c r="IJ16" s="20"/>
      <c r="IK16" s="20"/>
      <c r="IL16" s="20"/>
      <c r="IM16" s="20"/>
      <c r="IN16" s="20"/>
      <c r="IO16" s="20"/>
      <c r="IP16" s="20"/>
      <c r="IQ16" s="20"/>
      <c r="IR16" s="20"/>
      <c r="IS16" s="20"/>
      <c r="IT16" s="21"/>
      <c r="IU16" s="20"/>
      <c r="IV16" s="20"/>
      <c r="IW16" s="20"/>
      <c r="IX16" s="21"/>
      <c r="IY16" s="20"/>
      <c r="IZ16" s="20"/>
      <c r="JA16" s="20"/>
      <c r="JB16" s="20"/>
      <c r="JC16" s="20"/>
      <c r="JD16" s="20"/>
      <c r="JE16" s="20"/>
      <c r="JF16" s="21"/>
      <c r="JG16" s="21"/>
      <c r="JH16" s="21"/>
      <c r="JI16" s="20"/>
      <c r="JJ16" s="20"/>
      <c r="JK16" s="20"/>
      <c r="JL16" s="20"/>
      <c r="JM16" s="20"/>
      <c r="JN16" s="21"/>
      <c r="JO16" s="21"/>
      <c r="JP16" s="20"/>
      <c r="JQ16" s="20"/>
      <c r="JR16" s="20"/>
      <c r="JS16" s="20"/>
      <c r="JT16" s="20"/>
      <c r="JU16" s="21"/>
      <c r="JV16" s="20"/>
      <c r="JW16" s="20"/>
      <c r="JX16" s="20"/>
      <c r="JY16" s="20"/>
      <c r="JZ16" s="20"/>
      <c r="KA16" s="20"/>
      <c r="KB16" s="20"/>
      <c r="KC16" s="20"/>
      <c r="KD16" s="21">
        <v>15629</v>
      </c>
      <c r="KE16" s="21">
        <v>43350</v>
      </c>
      <c r="KF16" s="21">
        <v>23099</v>
      </c>
      <c r="KG16" s="20"/>
      <c r="KH16" s="21">
        <v>61238</v>
      </c>
      <c r="KI16" s="21"/>
      <c r="KJ16" s="21">
        <v>49602</v>
      </c>
      <c r="KK16" s="21"/>
      <c r="KL16" s="20"/>
      <c r="KM16" s="21">
        <v>13539</v>
      </c>
      <c r="KN16" s="20"/>
      <c r="KO16" s="20"/>
      <c r="KP16" s="20"/>
      <c r="KQ16" s="20"/>
      <c r="KR16" s="21"/>
      <c r="KS16" s="20"/>
      <c r="KT16" s="20"/>
      <c r="KU16" s="20"/>
      <c r="KV16" s="20"/>
      <c r="KW16" s="20"/>
      <c r="KX16" s="22"/>
      <c r="KY16" s="20"/>
      <c r="KZ16" s="80"/>
      <c r="LA16" s="23">
        <f t="shared" si="3"/>
        <v>317017</v>
      </c>
      <c r="LB16" s="2"/>
      <c r="LC16" s="43"/>
      <c r="MO16" s="172"/>
      <c r="NO16" s="80"/>
      <c r="NP16" s="63"/>
      <c r="NQ16"/>
      <c r="NR16" s="80"/>
      <c r="NS16" s="8">
        <f t="shared" si="4"/>
        <v>0</v>
      </c>
      <c r="NT16" s="2"/>
      <c r="NU16" s="24" t="s">
        <v>293</v>
      </c>
      <c r="NV16" s="20">
        <v>6305</v>
      </c>
      <c r="NW16" s="20"/>
      <c r="NX16" s="20">
        <v>24694</v>
      </c>
      <c r="NY16" s="20"/>
      <c r="NZ16" s="20">
        <v>25670</v>
      </c>
      <c r="OA16" s="20"/>
      <c r="OB16" s="20"/>
      <c r="OC16" s="20"/>
      <c r="OD16" s="20"/>
      <c r="OE16" s="80"/>
      <c r="OF16" s="8">
        <f t="shared" si="5"/>
        <v>56669</v>
      </c>
      <c r="OG16" s="2"/>
      <c r="OJ16" s="40"/>
      <c r="OK16" s="40"/>
      <c r="OL16" s="40"/>
      <c r="OM16" s="40"/>
      <c r="ON16" s="40"/>
      <c r="OO16" s="40"/>
      <c r="OQ16" s="40"/>
      <c r="OR16" s="80"/>
      <c r="OS16" s="35"/>
      <c r="OT16" s="37"/>
      <c r="OU16" s="114">
        <f t="shared" si="6"/>
        <v>713589</v>
      </c>
      <c r="OV16" s="70">
        <f t="shared" ref="OV16:OV47" si="9">IF(A16="","",(OU16-OU15)/OU15)</f>
        <v>-0.48041439338391895</v>
      </c>
      <c r="OW16" s="115">
        <v>0</v>
      </c>
      <c r="OX16" s="115">
        <f>IF(A16="","",AB16+CZ16+OF16)</f>
        <v>713589</v>
      </c>
      <c r="OY16" s="116"/>
      <c r="OZ16" s="117">
        <f t="shared" si="7"/>
        <v>660521</v>
      </c>
      <c r="PA16" s="83"/>
      <c r="PB16" s="118">
        <v>0</v>
      </c>
      <c r="PC16" s="115">
        <f>IF(A16="","",HD16+LA16)</f>
        <v>660521</v>
      </c>
      <c r="PD16" s="116"/>
      <c r="PE16" s="119"/>
      <c r="PF16" s="120"/>
      <c r="PG16" s="119"/>
      <c r="PH16" s="120"/>
      <c r="PI16" s="121">
        <f t="shared" si="8"/>
        <v>1374110</v>
      </c>
      <c r="PJ16" s="122">
        <f t="shared" ref="PJ16:PJ79" si="10">IF(PI16="","",(PI16-PI15)/PI15)</f>
        <v>5.3080681908370655E-4</v>
      </c>
      <c r="PK16" s="123"/>
      <c r="PL16" s="124">
        <v>0</v>
      </c>
      <c r="PM16" s="25">
        <f>PI16</f>
        <v>1374110</v>
      </c>
      <c r="PN16" s="125"/>
      <c r="PO16" s="86">
        <f>IF(PI16="","",MAX(PI$15:PI16))</f>
        <v>1374110</v>
      </c>
      <c r="PP16" s="113">
        <f t="shared" ref="PP16:PP79" si="11">IF(PI16="","",(PI16-PO16)/PI16)</f>
        <v>0</v>
      </c>
      <c r="PQ16" s="41"/>
      <c r="PR16" s="302"/>
    </row>
    <row r="17" spans="1:434" s="1" customFormat="1" ht="15" customHeight="1" x14ac:dyDescent="0.45">
      <c r="A17" s="18">
        <v>42930</v>
      </c>
      <c r="B17" s="3" t="s">
        <v>293</v>
      </c>
      <c r="C17" s="4">
        <v>61630</v>
      </c>
      <c r="D17" s="10"/>
      <c r="E17" s="10"/>
      <c r="F17" s="10"/>
      <c r="G17" s="4"/>
      <c r="H17" s="4"/>
      <c r="I17" s="4"/>
      <c r="J17" s="4"/>
      <c r="K17" s="4"/>
      <c r="L17" s="4"/>
      <c r="M17" s="4"/>
      <c r="N17" s="4"/>
      <c r="O17" s="10"/>
      <c r="P17" s="4"/>
      <c r="Q17" s="4"/>
      <c r="R17" s="4"/>
      <c r="S17" s="4"/>
      <c r="T17" s="4"/>
      <c r="U17" s="10">
        <v>52338</v>
      </c>
      <c r="V17" s="10"/>
      <c r="W17" s="10"/>
      <c r="X17" s="4"/>
      <c r="Y17" s="18"/>
      <c r="Z17" s="4"/>
      <c r="AA17" s="77">
        <f>IF($A17="","",(AB17-AB16)/AB16)</f>
        <v>0</v>
      </c>
      <c r="AB17" s="8">
        <f t="shared" si="0"/>
        <v>113968</v>
      </c>
      <c r="AC17" s="2"/>
      <c r="AD17" s="3" t="s">
        <v>293</v>
      </c>
      <c r="AE17" s="4">
        <v>111881</v>
      </c>
      <c r="AF17" s="4">
        <v>324562</v>
      </c>
      <c r="AG17" s="4"/>
      <c r="AH17" s="4"/>
      <c r="AJ17" s="4"/>
      <c r="AK17" s="4"/>
      <c r="AL17" s="4"/>
      <c r="AM17" s="4"/>
      <c r="AO17" s="4"/>
      <c r="AP17" s="10"/>
      <c r="AQ17" s="4"/>
      <c r="AR17" s="4"/>
      <c r="AS17" s="4"/>
      <c r="AT17" s="4"/>
      <c r="AU17" s="4"/>
      <c r="AW17" s="4"/>
      <c r="AX17" s="4"/>
      <c r="AY17" s="4"/>
      <c r="AZ17" s="4"/>
      <c r="BA17" s="4"/>
      <c r="BB17" s="4"/>
      <c r="BC17" s="4"/>
      <c r="BD17" s="4"/>
      <c r="BE17" s="4"/>
      <c r="BF17" s="4"/>
      <c r="BH17" s="4"/>
      <c r="BI17" s="4"/>
      <c r="BJ17" s="4"/>
      <c r="BK17" s="4"/>
      <c r="BL17" s="4"/>
      <c r="BM17" s="4"/>
      <c r="BN17" s="4"/>
      <c r="BO17" s="4"/>
      <c r="BP17" s="4"/>
      <c r="BQ17" s="4"/>
      <c r="BS17" s="10"/>
      <c r="BT17" s="4"/>
      <c r="BU17" s="4"/>
      <c r="BV17" s="4"/>
      <c r="BW17" s="4"/>
      <c r="CA17" s="4"/>
      <c r="CB17" s="4"/>
      <c r="CC17" s="4">
        <v>105780</v>
      </c>
      <c r="CD17" s="4"/>
      <c r="CE17" s="4"/>
      <c r="CF17" s="4"/>
      <c r="CG17" s="4"/>
      <c r="CH17" s="4"/>
      <c r="CI17" s="4"/>
      <c r="CJ17" s="10"/>
      <c r="CK17" s="10">
        <v>316</v>
      </c>
      <c r="CL17" s="10"/>
      <c r="CN17" s="10">
        <v>209</v>
      </c>
      <c r="CO17" s="10"/>
      <c r="CP17" s="10">
        <v>204</v>
      </c>
      <c r="CQ17" s="4"/>
      <c r="CR17" s="10"/>
      <c r="CS17" s="4"/>
      <c r="CT17" s="4"/>
      <c r="CU17" s="4"/>
      <c r="CV17" s="4"/>
      <c r="CW17" s="4"/>
      <c r="CX17" s="4"/>
      <c r="CY17" s="77">
        <f t="shared" ref="CY17:CY48" si="12">IF($A17="","",(CZ17-CZ16)/CZ16)</f>
        <v>0</v>
      </c>
      <c r="CZ17" s="8">
        <f t="shared" si="1"/>
        <v>542952</v>
      </c>
      <c r="DA17" s="2"/>
      <c r="DH17" s="4"/>
      <c r="DJ17" s="4"/>
      <c r="DX17" s="2"/>
      <c r="DY17" s="32"/>
      <c r="DZ17" s="4">
        <v>6305</v>
      </c>
      <c r="EA17" s="32"/>
      <c r="EB17" s="32"/>
      <c r="EC17" s="32"/>
      <c r="ED17" s="32"/>
      <c r="EE17" s="4"/>
      <c r="EF17" s="4"/>
      <c r="EG17" s="32"/>
      <c r="EH17" s="32"/>
      <c r="EI17" s="32"/>
      <c r="EJ17" s="32"/>
      <c r="EK17" s="5"/>
      <c r="EO17" s="2"/>
      <c r="EQ17" s="468" t="s">
        <v>1</v>
      </c>
      <c r="ER17"/>
      <c r="ES17" s="3" t="s">
        <v>294</v>
      </c>
      <c r="ET17" s="11"/>
      <c r="EU17" s="11"/>
      <c r="EV17" s="11"/>
      <c r="EW17" s="11"/>
      <c r="EX17" s="4">
        <f>256541-36790</f>
        <v>219751</v>
      </c>
      <c r="EY17" s="4"/>
      <c r="EZ17" s="4"/>
      <c r="FA17" s="4"/>
      <c r="FB17" s="4"/>
      <c r="FC17" s="4"/>
      <c r="FD17" s="4"/>
      <c r="FE17" s="4"/>
      <c r="FF17" s="4"/>
      <c r="FG17" s="4"/>
      <c r="FH17" s="10">
        <v>18906</v>
      </c>
      <c r="FI17" s="10"/>
      <c r="FJ17" s="10"/>
      <c r="FK17" s="10"/>
      <c r="FL17" s="10"/>
      <c r="FM17" s="10"/>
      <c r="FN17" s="4"/>
      <c r="FO17" s="4"/>
      <c r="FP17" s="10">
        <v>17526</v>
      </c>
      <c r="FQ17" s="4"/>
      <c r="FR17" s="4"/>
      <c r="FS17" s="10"/>
      <c r="FT17" s="4"/>
      <c r="FU17" s="4"/>
      <c r="FV17" s="4"/>
      <c r="FW17" s="4"/>
      <c r="FX17" s="4"/>
      <c r="FY17" s="4"/>
      <c r="FZ17" s="10"/>
      <c r="GA17" s="10">
        <v>17844</v>
      </c>
      <c r="GB17" s="10"/>
      <c r="GC17" s="10"/>
      <c r="GD17" s="4"/>
      <c r="GE17" s="4"/>
      <c r="GF17" s="4"/>
      <c r="GG17" s="4"/>
      <c r="GH17" s="4"/>
      <c r="GI17" s="4"/>
      <c r="GJ17" s="4"/>
      <c r="GK17" s="4"/>
      <c r="GL17" s="4"/>
      <c r="GM17" s="4">
        <v>17656</v>
      </c>
      <c r="GN17" s="10">
        <v>17293</v>
      </c>
      <c r="GO17" s="10">
        <v>17741</v>
      </c>
      <c r="GP17" s="4"/>
      <c r="GQ17" s="10"/>
      <c r="GR17" s="4"/>
      <c r="GS17" s="10"/>
      <c r="GT17" s="4"/>
      <c r="GU17" s="10"/>
      <c r="GV17" s="4"/>
      <c r="GW17" s="10"/>
      <c r="GX17" s="10">
        <v>17458</v>
      </c>
      <c r="GY17" s="10"/>
      <c r="GZ17" s="10"/>
      <c r="HA17" s="18"/>
      <c r="HB17" s="4"/>
      <c r="HC17" s="77">
        <f>IF($A17="","",(HD17-HD16)/HD16)</f>
        <v>1.9533979225860544E-3</v>
      </c>
      <c r="HD17" s="8">
        <f t="shared" si="2"/>
        <v>344175</v>
      </c>
      <c r="HE17" s="2"/>
      <c r="HF17" s="3" t="s">
        <v>294</v>
      </c>
      <c r="HG17" s="4">
        <v>20499</v>
      </c>
      <c r="HH17" s="4"/>
      <c r="HI17" s="4"/>
      <c r="HJ17" s="4"/>
      <c r="HK17" s="4"/>
      <c r="HL17" s="4"/>
      <c r="HM17" s="4"/>
      <c r="HN17" s="4"/>
      <c r="HO17" s="4"/>
      <c r="HP17" s="4"/>
      <c r="HQ17" s="4"/>
      <c r="HR17" s="4"/>
      <c r="HS17" s="4"/>
      <c r="HT17" s="10"/>
      <c r="HU17" s="10"/>
      <c r="HV17" s="4"/>
      <c r="HW17" s="4"/>
      <c r="HX17" s="4"/>
      <c r="HY17" s="4"/>
      <c r="HZ17" s="4"/>
      <c r="IA17" s="4"/>
      <c r="IB17" s="4"/>
      <c r="IC17" s="4"/>
      <c r="ID17" s="10">
        <v>18395</v>
      </c>
      <c r="IE17" s="4"/>
      <c r="IF17" s="10"/>
      <c r="IG17" s="4"/>
      <c r="IH17" s="4"/>
      <c r="II17" s="4"/>
      <c r="IJ17" s="4"/>
      <c r="IK17" s="4"/>
      <c r="IL17" s="4"/>
      <c r="IM17" s="4"/>
      <c r="IN17" s="4"/>
      <c r="IO17" s="4"/>
      <c r="IP17" s="4"/>
      <c r="IQ17" s="4"/>
      <c r="IR17" s="4"/>
      <c r="IS17" s="4"/>
      <c r="IT17" s="10">
        <v>17290</v>
      </c>
      <c r="IU17" s="4"/>
      <c r="IV17" s="4"/>
      <c r="IW17" s="4"/>
      <c r="IX17" s="10">
        <v>18459</v>
      </c>
      <c r="IY17" s="4"/>
      <c r="IZ17" s="4"/>
      <c r="JA17" s="4"/>
      <c r="JB17" s="4"/>
      <c r="JC17" s="4"/>
      <c r="JD17" s="4"/>
      <c r="JE17" s="4"/>
      <c r="JF17" s="10"/>
      <c r="JG17" s="10"/>
      <c r="JH17" s="10"/>
      <c r="JI17" s="4"/>
      <c r="JJ17" s="4"/>
      <c r="JK17" s="4"/>
      <c r="JL17" s="4">
        <v>18973</v>
      </c>
      <c r="JM17" s="4"/>
      <c r="JN17" s="10"/>
      <c r="JO17" s="10">
        <v>16943</v>
      </c>
      <c r="JP17" s="4"/>
      <c r="JQ17" s="4"/>
      <c r="JR17" s="4"/>
      <c r="JS17" s="4"/>
      <c r="JT17" s="4"/>
      <c r="JU17" s="10"/>
      <c r="JV17" s="4"/>
      <c r="JW17" s="4"/>
      <c r="JX17" s="4"/>
      <c r="JY17" s="4"/>
      <c r="JZ17" s="4"/>
      <c r="KA17" s="4"/>
      <c r="KB17" s="4"/>
      <c r="KC17" s="4"/>
      <c r="KD17" s="10">
        <v>15866</v>
      </c>
      <c r="KE17" s="10">
        <v>43229</v>
      </c>
      <c r="KF17" s="10">
        <v>23030</v>
      </c>
      <c r="KG17" s="4"/>
      <c r="KH17" s="10">
        <v>62276</v>
      </c>
      <c r="KI17" s="10"/>
      <c r="KJ17" s="10">
        <v>49730</v>
      </c>
      <c r="KK17" s="10"/>
      <c r="KL17" s="4"/>
      <c r="KM17" s="10">
        <v>13729</v>
      </c>
      <c r="KN17" s="4"/>
      <c r="KO17" s="4"/>
      <c r="KP17" s="4"/>
      <c r="KQ17" s="4"/>
      <c r="KR17" s="10"/>
      <c r="KS17" s="4"/>
      <c r="KT17" s="4"/>
      <c r="KU17" s="4"/>
      <c r="KV17" s="4"/>
      <c r="KW17" s="4"/>
      <c r="KX17" s="18"/>
      <c r="KY17" s="4"/>
      <c r="KZ17" s="77">
        <f>IF($A17="","",(LA17-LA16)/LA16)</f>
        <v>4.4224757662838267E-3</v>
      </c>
      <c r="LA17" s="8">
        <f t="shared" si="3"/>
        <v>318419</v>
      </c>
      <c r="LB17" s="2"/>
      <c r="LC17" s="43"/>
      <c r="MO17" s="172"/>
      <c r="NO17" s="77"/>
      <c r="NP17" s="63"/>
      <c r="NQ17"/>
      <c r="NR17" s="77" t="e">
        <f>IF($A17="","",(NS17-NS16)/NS16)</f>
        <v>#DIV/0!</v>
      </c>
      <c r="NS17" s="8">
        <f t="shared" si="4"/>
        <v>0</v>
      </c>
      <c r="NT17" s="2"/>
      <c r="NU17" s="3" t="s">
        <v>293</v>
      </c>
      <c r="NV17" s="4">
        <v>6305</v>
      </c>
      <c r="NW17" s="4"/>
      <c r="NX17" s="4">
        <v>24694</v>
      </c>
      <c r="NY17" s="4"/>
      <c r="NZ17" s="4">
        <v>25670</v>
      </c>
      <c r="OA17" s="4"/>
      <c r="OB17" s="4"/>
      <c r="OC17" s="4"/>
      <c r="OD17" s="4"/>
      <c r="OE17" s="77">
        <f>IF($A17="","",(OF17-OF16)/OF16)</f>
        <v>0</v>
      </c>
      <c r="OF17" s="8">
        <f t="shared" si="5"/>
        <v>56669</v>
      </c>
      <c r="OG17" s="2"/>
      <c r="OJ17" s="40"/>
      <c r="OK17" s="40"/>
      <c r="OL17" s="40"/>
      <c r="OM17" s="40"/>
      <c r="ON17" s="40"/>
      <c r="OO17" s="40"/>
      <c r="OQ17" s="40"/>
      <c r="OR17" s="77"/>
      <c r="OS17" s="35"/>
      <c r="OT17" s="37"/>
      <c r="OU17" s="126">
        <f t="shared" si="6"/>
        <v>713589</v>
      </c>
      <c r="OV17" s="71">
        <f t="shared" si="9"/>
        <v>0</v>
      </c>
      <c r="OW17" s="127">
        <f>IF(A17="","",SUM(Z$17:Z17))</f>
        <v>0</v>
      </c>
      <c r="OX17" s="127">
        <f t="shared" ref="OX17:OX28" si="13">IF(A17="","",AB17+CZ17+OF17+OW17)</f>
        <v>713589</v>
      </c>
      <c r="OY17" s="128">
        <f t="shared" ref="OY17:OY28" si="14">IF(A17="","",(OX17-OX$16)/OX$16)</f>
        <v>0</v>
      </c>
      <c r="OZ17" s="129">
        <f t="shared" si="7"/>
        <v>662594</v>
      </c>
      <c r="PA17" s="84">
        <f t="shared" ref="PA17:PA48" si="15">IF(A17="","",(OZ17-OZ16)/OZ16)</f>
        <v>3.1384316319995882E-3</v>
      </c>
      <c r="PB17" s="130">
        <f>IF(A17="","",SUM(HB$17:HB17)+SUM(KY$17:KY17))</f>
        <v>0</v>
      </c>
      <c r="PC17" s="131">
        <f t="shared" ref="PC17:PC28" si="16">IF(A17="","",HD17+LA17+PB17)</f>
        <v>662594</v>
      </c>
      <c r="PD17" s="132">
        <f t="shared" ref="PD17:PD28" si="17">IF(A17="","",(PC17-PC$16)/PC$16)</f>
        <v>3.1384316319995882E-3</v>
      </c>
      <c r="PE17" s="133"/>
      <c r="PF17" s="134"/>
      <c r="PG17" s="133"/>
      <c r="PH17" s="134"/>
      <c r="PI17" s="135">
        <f t="shared" si="8"/>
        <v>1376183</v>
      </c>
      <c r="PJ17" s="136">
        <f t="shared" si="10"/>
        <v>1.5086128475886209E-3</v>
      </c>
      <c r="PK17" s="123"/>
      <c r="PL17" s="137">
        <f t="shared" ref="PL17:PL28" si="18">IF(A17="","",OW17+PB17)</f>
        <v>0</v>
      </c>
      <c r="PM17" s="9">
        <f t="shared" ref="PM17:PM28" si="19">IF(A17="","",OX17+PC17)</f>
        <v>1376183</v>
      </c>
      <c r="PN17" s="138">
        <f t="shared" ref="PN17:PN28" si="20">IF(A17="","",(PM17-PM$16)/PM$16)</f>
        <v>1.5086128475886209E-3</v>
      </c>
      <c r="PO17" s="86">
        <f>IF(PI17="","",MAX(PI$15:PI17))</f>
        <v>1376183</v>
      </c>
      <c r="PP17" s="113">
        <f t="shared" si="11"/>
        <v>0</v>
      </c>
      <c r="PQ17" s="41"/>
      <c r="PR17" s="302"/>
    </row>
    <row r="18" spans="1:434" s="1" customFormat="1" ht="15" customHeight="1" x14ac:dyDescent="0.45">
      <c r="A18" s="18">
        <v>42936</v>
      </c>
      <c r="B18" s="3" t="s">
        <v>295</v>
      </c>
      <c r="C18" s="4">
        <v>61630</v>
      </c>
      <c r="D18" s="10"/>
      <c r="E18" s="10"/>
      <c r="F18" s="10"/>
      <c r="G18" s="4"/>
      <c r="H18" s="4"/>
      <c r="I18" s="4"/>
      <c r="J18" s="4"/>
      <c r="K18" s="4"/>
      <c r="L18" s="4"/>
      <c r="M18" s="4"/>
      <c r="N18" s="4"/>
      <c r="O18" s="10"/>
      <c r="P18" s="4"/>
      <c r="Q18" s="4"/>
      <c r="R18" s="4"/>
      <c r="S18" s="4"/>
      <c r="T18" s="4"/>
      <c r="U18" s="10">
        <v>52565</v>
      </c>
      <c r="V18" s="10"/>
      <c r="W18" s="10"/>
      <c r="X18" s="4"/>
      <c r="Y18" s="18"/>
      <c r="Z18" s="4"/>
      <c r="AA18" s="77">
        <f t="shared" ref="AA18:AA81" si="21">IF($A18="","",(AB18-AB17)/AB17)</f>
        <v>1.9917871683279519E-3</v>
      </c>
      <c r="AB18" s="8">
        <f t="shared" si="0"/>
        <v>114195</v>
      </c>
      <c r="AC18" s="2"/>
      <c r="AD18" s="3" t="s">
        <v>296</v>
      </c>
      <c r="AE18" s="4">
        <v>112940</v>
      </c>
      <c r="AF18" s="4">
        <v>326717</v>
      </c>
      <c r="AG18" s="4"/>
      <c r="AH18" s="4"/>
      <c r="AJ18" s="4"/>
      <c r="AK18" s="4"/>
      <c r="AL18" s="4"/>
      <c r="AM18" s="4"/>
      <c r="AO18" s="4"/>
      <c r="AP18" s="10"/>
      <c r="AQ18" s="4"/>
      <c r="AR18" s="4"/>
      <c r="AS18" s="4"/>
      <c r="AT18" s="4"/>
      <c r="AU18" s="4"/>
      <c r="AW18" s="4"/>
      <c r="AX18" s="4"/>
      <c r="AY18" s="4"/>
      <c r="AZ18" s="4"/>
      <c r="BA18" s="4"/>
      <c r="BB18" s="4"/>
      <c r="BC18" s="4"/>
      <c r="BD18" s="4"/>
      <c r="BE18" s="4"/>
      <c r="BF18" s="4"/>
      <c r="BH18" s="4"/>
      <c r="BI18" s="4"/>
      <c r="BJ18" s="4"/>
      <c r="BK18" s="4"/>
      <c r="BL18" s="4"/>
      <c r="BM18" s="4"/>
      <c r="BN18" s="4"/>
      <c r="BO18" s="4"/>
      <c r="BP18" s="4"/>
      <c r="BQ18" s="4"/>
      <c r="BS18" s="10"/>
      <c r="BT18" s="4"/>
      <c r="BU18" s="4"/>
      <c r="BV18" s="4"/>
      <c r="BW18" s="4"/>
      <c r="CA18" s="4"/>
      <c r="CB18" s="4"/>
      <c r="CC18" s="4">
        <v>106057</v>
      </c>
      <c r="CD18" s="4"/>
      <c r="CE18" s="4"/>
      <c r="CF18" s="4"/>
      <c r="CG18" s="4"/>
      <c r="CH18" s="4"/>
      <c r="CI18" s="4"/>
      <c r="CJ18" s="10"/>
      <c r="CK18" s="10"/>
      <c r="CL18" s="10"/>
      <c r="CN18" s="10"/>
      <c r="CO18" s="10"/>
      <c r="CP18" s="10"/>
      <c r="CQ18" s="4"/>
      <c r="CR18" s="10"/>
      <c r="CS18" s="4"/>
      <c r="CT18" s="4"/>
      <c r="CU18" s="4"/>
      <c r="CV18" s="4"/>
      <c r="CW18" s="4"/>
      <c r="CX18" s="4"/>
      <c r="CY18" s="77">
        <f t="shared" si="12"/>
        <v>5.0870058495041922E-3</v>
      </c>
      <c r="CZ18" s="8">
        <f t="shared" si="1"/>
        <v>545714</v>
      </c>
      <c r="DA18" s="2"/>
      <c r="DH18" s="4"/>
      <c r="DJ18" s="4"/>
      <c r="DX18" s="2"/>
      <c r="DY18" s="32"/>
      <c r="DZ18" s="4">
        <v>6304</v>
      </c>
      <c r="EA18" s="32"/>
      <c r="EB18" s="32"/>
      <c r="EC18" s="32"/>
      <c r="ED18" s="32"/>
      <c r="EE18" s="4"/>
      <c r="EF18" s="4"/>
      <c r="EG18" s="32"/>
      <c r="EH18" s="32"/>
      <c r="EI18" s="32"/>
      <c r="EJ18" s="32"/>
      <c r="EK18" s="5"/>
      <c r="EO18" s="2"/>
      <c r="EQ18" s="468" t="s">
        <v>1</v>
      </c>
      <c r="ER18"/>
      <c r="ES18" s="3" t="s">
        <v>295</v>
      </c>
      <c r="ET18" s="10"/>
      <c r="EU18" s="10"/>
      <c r="EV18" s="10"/>
      <c r="EW18" s="10"/>
      <c r="EX18" s="4">
        <f>237635-17884</f>
        <v>219751</v>
      </c>
      <c r="EY18" s="4"/>
      <c r="EZ18" s="4"/>
      <c r="FA18" s="4"/>
      <c r="FB18" s="4"/>
      <c r="FC18" s="4"/>
      <c r="FD18" s="4"/>
      <c r="FE18" s="4"/>
      <c r="FF18" s="4"/>
      <c r="FG18" s="4"/>
      <c r="FH18" s="10">
        <v>19116</v>
      </c>
      <c r="FI18" s="10"/>
      <c r="FJ18" s="10"/>
      <c r="FK18" s="10"/>
      <c r="FL18" s="10"/>
      <c r="FM18" s="10"/>
      <c r="FN18" s="4"/>
      <c r="FO18" s="4"/>
      <c r="FP18" s="10">
        <v>16950</v>
      </c>
      <c r="FQ18" s="4"/>
      <c r="FR18" s="4"/>
      <c r="FS18" s="10"/>
      <c r="FT18" s="4"/>
      <c r="FU18" s="4"/>
      <c r="FV18" s="4"/>
      <c r="FW18" s="4"/>
      <c r="FX18" s="4"/>
      <c r="FY18" s="4"/>
      <c r="FZ18" s="10"/>
      <c r="GA18" s="10">
        <v>17986</v>
      </c>
      <c r="GB18" s="10"/>
      <c r="GC18" s="10"/>
      <c r="GD18" s="4"/>
      <c r="GE18" s="4"/>
      <c r="GF18" s="4"/>
      <c r="GG18" s="4"/>
      <c r="GH18" s="4"/>
      <c r="GI18" s="4"/>
      <c r="GJ18" s="4"/>
      <c r="GK18" s="4"/>
      <c r="GL18" s="4"/>
      <c r="GM18" s="4">
        <v>17409</v>
      </c>
      <c r="GN18" s="10">
        <v>17175</v>
      </c>
      <c r="GO18" s="10">
        <v>17787</v>
      </c>
      <c r="GP18" s="4"/>
      <c r="GQ18" s="10"/>
      <c r="GR18" s="4"/>
      <c r="GS18" s="10"/>
      <c r="GT18" s="4"/>
      <c r="GU18" s="10"/>
      <c r="GV18" s="4"/>
      <c r="GW18" s="10"/>
      <c r="GX18" s="10">
        <v>17688</v>
      </c>
      <c r="GY18" s="10"/>
      <c r="GZ18" s="10"/>
      <c r="HA18" s="18"/>
      <c r="HB18" s="4"/>
      <c r="HC18" s="77">
        <f t="shared" ref="HC18:HC81" si="22">IF($A18="","",(HD18-HD17)/HD17)</f>
        <v>-9.0942107939275083E-4</v>
      </c>
      <c r="HD18" s="8">
        <f t="shared" si="2"/>
        <v>343862</v>
      </c>
      <c r="HE18" s="2"/>
      <c r="HF18" s="3" t="s">
        <v>295</v>
      </c>
      <c r="HG18" s="4">
        <v>20499</v>
      </c>
      <c r="HH18" s="4"/>
      <c r="HI18" s="4"/>
      <c r="HJ18" s="4"/>
      <c r="HK18" s="4"/>
      <c r="HL18" s="4"/>
      <c r="HM18" s="4"/>
      <c r="HN18" s="4"/>
      <c r="HO18" s="4"/>
      <c r="HP18" s="4"/>
      <c r="HQ18" s="4"/>
      <c r="HR18" s="4"/>
      <c r="HS18" s="4"/>
      <c r="HT18" s="10"/>
      <c r="HU18" s="10"/>
      <c r="HV18" s="4"/>
      <c r="HW18" s="4"/>
      <c r="HX18" s="4"/>
      <c r="HY18" s="4"/>
      <c r="HZ18" s="4"/>
      <c r="IA18" s="4"/>
      <c r="IB18" s="4"/>
      <c r="IC18" s="4"/>
      <c r="ID18" s="10">
        <v>18788</v>
      </c>
      <c r="IE18" s="4"/>
      <c r="IF18" s="10"/>
      <c r="IG18" s="4"/>
      <c r="IH18" s="4"/>
      <c r="II18" s="4"/>
      <c r="IJ18" s="4"/>
      <c r="IK18" s="4"/>
      <c r="IL18" s="4"/>
      <c r="IM18" s="4"/>
      <c r="IN18" s="4"/>
      <c r="IO18" s="4"/>
      <c r="IP18" s="4"/>
      <c r="IQ18" s="4"/>
      <c r="IR18" s="4"/>
      <c r="IS18" s="4"/>
      <c r="IT18" s="10">
        <v>17375</v>
      </c>
      <c r="IU18" s="4"/>
      <c r="IV18" s="4"/>
      <c r="IW18" s="4"/>
      <c r="IX18" s="10">
        <v>18240</v>
      </c>
      <c r="IY18" s="4"/>
      <c r="IZ18" s="4"/>
      <c r="JA18" s="4"/>
      <c r="JB18" s="4"/>
      <c r="JC18" s="4"/>
      <c r="JD18" s="4"/>
      <c r="JE18" s="4"/>
      <c r="JF18" s="10"/>
      <c r="JG18" s="10"/>
      <c r="JH18" s="10"/>
      <c r="JI18" s="4"/>
      <c r="JJ18" s="4"/>
      <c r="JK18" s="4"/>
      <c r="JL18" s="4">
        <v>18882</v>
      </c>
      <c r="JM18" s="4"/>
      <c r="JN18" s="10"/>
      <c r="JO18" s="10">
        <v>17000</v>
      </c>
      <c r="JP18" s="4"/>
      <c r="JQ18" s="4"/>
      <c r="JR18" s="4"/>
      <c r="JS18" s="4"/>
      <c r="JT18" s="4"/>
      <c r="JU18" s="10"/>
      <c r="JV18" s="4"/>
      <c r="JW18" s="4"/>
      <c r="JX18" s="4"/>
      <c r="JY18" s="4"/>
      <c r="JZ18" s="4"/>
      <c r="KA18" s="4"/>
      <c r="KB18" s="4"/>
      <c r="KC18" s="4"/>
      <c r="KD18" s="10">
        <v>15873</v>
      </c>
      <c r="KE18" s="10">
        <v>43427</v>
      </c>
      <c r="KF18" s="10">
        <v>22930</v>
      </c>
      <c r="KG18" s="4"/>
      <c r="KH18" s="10">
        <v>62440</v>
      </c>
      <c r="KI18" s="10"/>
      <c r="KJ18" s="10">
        <v>49920</v>
      </c>
      <c r="KK18" s="10"/>
      <c r="KL18" s="4"/>
      <c r="KM18" s="10">
        <v>13746</v>
      </c>
      <c r="KN18" s="4"/>
      <c r="KO18" s="4"/>
      <c r="KP18" s="4"/>
      <c r="KQ18" s="4"/>
      <c r="KR18" s="10"/>
      <c r="KS18" s="4"/>
      <c r="KT18" s="4"/>
      <c r="KU18" s="4"/>
      <c r="KV18" s="4"/>
      <c r="KW18" s="4"/>
      <c r="KX18" s="18"/>
      <c r="KY18" s="4"/>
      <c r="KZ18" s="77">
        <f t="shared" ref="KZ18:KZ81" si="23">IF($A18="","",(LA18-LA17)/LA17)</f>
        <v>2.2015017948049582E-3</v>
      </c>
      <c r="LA18" s="8">
        <f t="shared" si="3"/>
        <v>319120</v>
      </c>
      <c r="LB18" s="2"/>
      <c r="LC18" s="43"/>
      <c r="MO18" s="172"/>
      <c r="NO18" s="77"/>
      <c r="NP18" s="63"/>
      <c r="NQ18"/>
      <c r="NR18" s="77" t="e">
        <f t="shared" ref="NR18:NR81" si="24">IF($A18="","",(NS18-NS17)/NS17)</f>
        <v>#DIV/0!</v>
      </c>
      <c r="NS18" s="8">
        <f t="shared" si="4"/>
        <v>0</v>
      </c>
      <c r="NT18" s="2"/>
      <c r="NU18" s="3" t="s">
        <v>295</v>
      </c>
      <c r="NV18" s="4">
        <v>6304</v>
      </c>
      <c r="NW18" s="4"/>
      <c r="NX18" s="4">
        <v>25859</v>
      </c>
      <c r="NY18" s="4"/>
      <c r="NZ18" s="4">
        <v>26946</v>
      </c>
      <c r="OA18" s="4"/>
      <c r="OB18" s="4"/>
      <c r="OC18" s="4"/>
      <c r="OD18" s="4"/>
      <c r="OE18" s="77">
        <f t="shared" ref="OE18:OE81" si="25">IF($A18="","",(OF18-OF17)/OF17)</f>
        <v>4.3057050592034449E-2</v>
      </c>
      <c r="OF18" s="8">
        <f t="shared" si="5"/>
        <v>59109</v>
      </c>
      <c r="OG18" s="2"/>
      <c r="OJ18" s="40"/>
      <c r="OK18" s="40"/>
      <c r="OL18" s="40"/>
      <c r="OM18" s="40"/>
      <c r="ON18" s="40"/>
      <c r="OO18" s="40"/>
      <c r="OQ18" s="40"/>
      <c r="OR18" s="77"/>
      <c r="OS18" s="35"/>
      <c r="OT18" s="37"/>
      <c r="OU18" s="126">
        <f t="shared" si="6"/>
        <v>719018</v>
      </c>
      <c r="OV18" s="71">
        <f t="shared" si="9"/>
        <v>7.6080208635503068E-3</v>
      </c>
      <c r="OW18" s="139">
        <f>IF(A18="","",SUM(Z$17:Z18))</f>
        <v>0</v>
      </c>
      <c r="OX18" s="139">
        <f t="shared" si="13"/>
        <v>719018</v>
      </c>
      <c r="OY18" s="132">
        <f t="shared" si="14"/>
        <v>7.6080208635503068E-3</v>
      </c>
      <c r="OZ18" s="140">
        <f t="shared" si="7"/>
        <v>662982</v>
      </c>
      <c r="PA18" s="84">
        <f t="shared" si="15"/>
        <v>5.8557729167484161E-4</v>
      </c>
      <c r="PB18" s="130">
        <f>IF(A18="","",SUM(HB$17:HB18)+SUM(KY$17:KY18))</f>
        <v>0</v>
      </c>
      <c r="PC18" s="131">
        <f t="shared" si="16"/>
        <v>662982</v>
      </c>
      <c r="PD18" s="132">
        <f t="shared" si="17"/>
        <v>3.7258467179696027E-3</v>
      </c>
      <c r="PE18" s="133"/>
      <c r="PF18" s="134"/>
      <c r="PG18" s="133"/>
      <c r="PH18" s="134"/>
      <c r="PI18" s="135">
        <f t="shared" si="8"/>
        <v>1382000</v>
      </c>
      <c r="PJ18" s="136">
        <f t="shared" si="10"/>
        <v>4.2269087759404089E-3</v>
      </c>
      <c r="PK18" s="123"/>
      <c r="PL18" s="137">
        <f t="shared" si="18"/>
        <v>0</v>
      </c>
      <c r="PM18" s="9">
        <f t="shared" si="19"/>
        <v>1382000</v>
      </c>
      <c r="PN18" s="138">
        <f t="shared" si="20"/>
        <v>5.7418983924139985E-3</v>
      </c>
      <c r="PO18" s="86">
        <f>IF(PI18="","",MAX(PI$15:PI18))</f>
        <v>1382000</v>
      </c>
      <c r="PP18" s="113">
        <f t="shared" si="11"/>
        <v>0</v>
      </c>
      <c r="PQ18" s="41"/>
      <c r="PR18" s="302"/>
    </row>
    <row r="19" spans="1:434" s="1" customFormat="1" ht="15" customHeight="1" x14ac:dyDescent="0.45">
      <c r="A19" s="18">
        <v>42950</v>
      </c>
      <c r="B19" s="3" t="s">
        <v>297</v>
      </c>
      <c r="C19" s="4">
        <v>41818</v>
      </c>
      <c r="D19" s="10"/>
      <c r="E19" s="10"/>
      <c r="F19" s="10"/>
      <c r="G19" s="4"/>
      <c r="H19" s="4"/>
      <c r="I19" s="4"/>
      <c r="J19" s="4"/>
      <c r="K19" s="4"/>
      <c r="L19" s="4"/>
      <c r="M19" s="4"/>
      <c r="N19" s="4"/>
      <c r="O19" s="10"/>
      <c r="P19" s="4"/>
      <c r="Q19" s="4"/>
      <c r="R19" s="4"/>
      <c r="S19" s="4"/>
      <c r="T19" s="4"/>
      <c r="U19" s="10">
        <v>52474</v>
      </c>
      <c r="V19" s="10"/>
      <c r="W19" s="10"/>
      <c r="X19" s="4"/>
      <c r="Y19" s="18">
        <v>42950</v>
      </c>
      <c r="Z19" s="4">
        <v>20000</v>
      </c>
      <c r="AA19" s="77">
        <f t="shared" si="21"/>
        <v>-0.17428959236393887</v>
      </c>
      <c r="AB19" s="8">
        <f t="shared" si="0"/>
        <v>94292</v>
      </c>
      <c r="AC19" s="2"/>
      <c r="AD19" s="3" t="s">
        <v>298</v>
      </c>
      <c r="AE19" s="4">
        <f>20013-20000</f>
        <v>13</v>
      </c>
      <c r="AF19" s="4">
        <f>AF18</f>
        <v>326717</v>
      </c>
      <c r="AG19" s="4"/>
      <c r="AH19" s="4"/>
      <c r="AJ19" s="4"/>
      <c r="AK19" s="4"/>
      <c r="AL19" s="4"/>
      <c r="AM19" s="4"/>
      <c r="AO19" s="4"/>
      <c r="AP19" s="10"/>
      <c r="AQ19" s="4"/>
      <c r="AR19" s="4"/>
      <c r="AS19" s="4"/>
      <c r="AT19" s="4"/>
      <c r="AU19" s="4"/>
      <c r="AW19" s="4"/>
      <c r="AX19" s="4"/>
      <c r="AY19" s="4"/>
      <c r="AZ19" s="4"/>
      <c r="BA19" s="4"/>
      <c r="BB19" s="4"/>
      <c r="BC19" s="4"/>
      <c r="BD19" s="4"/>
      <c r="BE19" s="4"/>
      <c r="BF19" s="4"/>
      <c r="BH19" s="4">
        <v>20000</v>
      </c>
      <c r="BI19" s="4"/>
      <c r="BJ19" s="4"/>
      <c r="BK19" s="4"/>
      <c r="BL19" s="4"/>
      <c r="BM19" s="4"/>
      <c r="BN19" s="4"/>
      <c r="BO19" s="4"/>
      <c r="BP19" s="4"/>
      <c r="BQ19" s="4"/>
      <c r="BS19" s="10"/>
      <c r="BT19" s="4"/>
      <c r="BU19" s="4"/>
      <c r="BV19" s="4"/>
      <c r="BW19" s="4"/>
      <c r="CA19" s="4">
        <v>93075</v>
      </c>
      <c r="CB19" s="4"/>
      <c r="CC19" s="4">
        <v>106335</v>
      </c>
      <c r="CD19" s="4"/>
      <c r="CE19" s="4"/>
      <c r="CF19" s="4"/>
      <c r="CG19" s="4"/>
      <c r="CH19" s="4"/>
      <c r="CI19" s="4"/>
      <c r="CJ19" s="10"/>
      <c r="CK19" s="4"/>
      <c r="CL19" s="10"/>
      <c r="CN19" s="4"/>
      <c r="CO19" s="10"/>
      <c r="CP19" s="4"/>
      <c r="CQ19" s="4"/>
      <c r="CR19" s="10"/>
      <c r="CS19" s="4"/>
      <c r="CT19" s="4"/>
      <c r="CU19" s="4"/>
      <c r="CV19" s="4"/>
      <c r="CW19" s="4"/>
      <c r="CX19" s="4"/>
      <c r="CY19" s="77">
        <f t="shared" si="12"/>
        <v>7.8062868095742457E-4</v>
      </c>
      <c r="CZ19" s="8">
        <f t="shared" si="1"/>
        <v>546140</v>
      </c>
      <c r="DA19" s="2"/>
      <c r="DH19" s="4"/>
      <c r="DJ19" s="4"/>
      <c r="DX19" s="2"/>
      <c r="DY19" s="32"/>
      <c r="DZ19" s="4">
        <v>6308</v>
      </c>
      <c r="EA19" s="32"/>
      <c r="EB19" s="32"/>
      <c r="EC19" s="32"/>
      <c r="ED19" s="32"/>
      <c r="EE19" s="4"/>
      <c r="EF19" s="4"/>
      <c r="EG19" s="32"/>
      <c r="EH19" s="32"/>
      <c r="EI19" s="32"/>
      <c r="EJ19" s="32"/>
      <c r="EK19" s="5"/>
      <c r="EO19" s="2"/>
      <c r="EQ19" s="468" t="s">
        <v>1</v>
      </c>
      <c r="ER19"/>
      <c r="ES19" s="6" t="s">
        <v>299</v>
      </c>
      <c r="ET19" s="10"/>
      <c r="EU19" s="10"/>
      <c r="EV19" s="10"/>
      <c r="EW19" s="10"/>
      <c r="EX19" s="4">
        <f>201587-16707</f>
        <v>184880</v>
      </c>
      <c r="EY19" s="4">
        <v>18738</v>
      </c>
      <c r="EZ19" s="4"/>
      <c r="FA19" s="4"/>
      <c r="FB19" s="4"/>
      <c r="FC19" s="4"/>
      <c r="FD19" s="4"/>
      <c r="FE19" s="4"/>
      <c r="FF19" s="4"/>
      <c r="FG19" s="4"/>
      <c r="FH19" s="10">
        <v>19020</v>
      </c>
      <c r="FI19" s="10"/>
      <c r="FJ19" s="10"/>
      <c r="FK19" s="10"/>
      <c r="FL19" s="10"/>
      <c r="FM19" s="10"/>
      <c r="FN19" s="4"/>
      <c r="FO19" s="4"/>
      <c r="FP19" s="10">
        <v>16740</v>
      </c>
      <c r="FQ19" s="4"/>
      <c r="FR19" s="4"/>
      <c r="FS19" s="10">
        <v>16676</v>
      </c>
      <c r="FT19" s="4"/>
      <c r="FU19" s="4"/>
      <c r="FV19" s="4"/>
      <c r="FW19" s="4"/>
      <c r="FX19" s="4"/>
      <c r="FY19" s="4"/>
      <c r="FZ19" s="10"/>
      <c r="GA19" s="10">
        <v>18110</v>
      </c>
      <c r="GB19" s="10"/>
      <c r="GC19" s="10"/>
      <c r="GD19" s="4"/>
      <c r="GE19" s="4"/>
      <c r="GF19" s="4"/>
      <c r="GG19" s="4"/>
      <c r="GH19" s="4"/>
      <c r="GI19" s="4"/>
      <c r="GJ19" s="4"/>
      <c r="GK19" s="4"/>
      <c r="GL19" s="4"/>
      <c r="GM19" s="4">
        <v>16716</v>
      </c>
      <c r="GN19" s="10">
        <v>16675</v>
      </c>
      <c r="GO19" s="10">
        <v>18554</v>
      </c>
      <c r="GP19" s="4"/>
      <c r="GQ19" s="10"/>
      <c r="GR19" s="4"/>
      <c r="GS19" s="10"/>
      <c r="GT19" s="4"/>
      <c r="GU19" s="10"/>
      <c r="GV19" s="4"/>
      <c r="GW19" s="10"/>
      <c r="GX19" s="10">
        <v>19280</v>
      </c>
      <c r="GY19" s="10"/>
      <c r="GZ19" s="10"/>
      <c r="HA19" s="18"/>
      <c r="HB19" s="4"/>
      <c r="HC19" s="77">
        <f t="shared" si="22"/>
        <v>4.4407349459957774E-3</v>
      </c>
      <c r="HD19" s="8">
        <f t="shared" si="2"/>
        <v>345389</v>
      </c>
      <c r="HE19" s="2"/>
      <c r="HF19" s="3" t="s">
        <v>295</v>
      </c>
      <c r="HG19" s="4">
        <v>20530</v>
      </c>
      <c r="HH19" s="4"/>
      <c r="HI19" s="4"/>
      <c r="HJ19" s="4"/>
      <c r="HK19" s="4"/>
      <c r="HL19" s="4"/>
      <c r="HM19" s="4"/>
      <c r="HN19" s="4"/>
      <c r="HO19" s="4"/>
      <c r="HP19" s="4"/>
      <c r="HQ19" s="4"/>
      <c r="HR19" s="4"/>
      <c r="HS19" s="4"/>
      <c r="HT19" s="10"/>
      <c r="HU19" s="10"/>
      <c r="HV19" s="4"/>
      <c r="HW19" s="4"/>
      <c r="HX19" s="4"/>
      <c r="HY19" s="4"/>
      <c r="HZ19" s="4"/>
      <c r="IA19" s="4"/>
      <c r="IB19" s="4"/>
      <c r="IC19" s="4"/>
      <c r="ID19" s="10">
        <v>18916</v>
      </c>
      <c r="IE19" s="4"/>
      <c r="IF19" s="10"/>
      <c r="IG19" s="4"/>
      <c r="IH19" s="4"/>
      <c r="II19" s="4"/>
      <c r="IJ19" s="4"/>
      <c r="IK19" s="4"/>
      <c r="IL19" s="4"/>
      <c r="IM19" s="4"/>
      <c r="IN19" s="4"/>
      <c r="IO19" s="4"/>
      <c r="IP19" s="4"/>
      <c r="IQ19" s="4"/>
      <c r="IR19" s="4"/>
      <c r="IS19" s="4"/>
      <c r="IT19" s="10">
        <v>18115</v>
      </c>
      <c r="IU19" s="4"/>
      <c r="IV19" s="4"/>
      <c r="IW19" s="4"/>
      <c r="IX19" s="10">
        <v>18460</v>
      </c>
      <c r="IY19" s="4"/>
      <c r="IZ19" s="4"/>
      <c r="JA19" s="4"/>
      <c r="JB19" s="4"/>
      <c r="JC19" s="4"/>
      <c r="JD19" s="4"/>
      <c r="JE19" s="4"/>
      <c r="JF19" s="10"/>
      <c r="JG19" s="10"/>
      <c r="JH19" s="10"/>
      <c r="JI19" s="4"/>
      <c r="JJ19" s="4"/>
      <c r="JK19" s="4"/>
      <c r="JL19" s="4">
        <v>19038</v>
      </c>
      <c r="JM19" s="4"/>
      <c r="JN19" s="10"/>
      <c r="JO19" s="10">
        <v>16330</v>
      </c>
      <c r="JP19" s="4"/>
      <c r="JQ19" s="4"/>
      <c r="JR19" s="4"/>
      <c r="JS19" s="4"/>
      <c r="JT19" s="4"/>
      <c r="JU19" s="10"/>
      <c r="JV19" s="4"/>
      <c r="JW19" s="4"/>
      <c r="JX19" s="4"/>
      <c r="JY19" s="4"/>
      <c r="JZ19" s="4"/>
      <c r="KA19" s="4"/>
      <c r="KB19" s="4"/>
      <c r="KC19" s="4"/>
      <c r="KD19" s="10">
        <v>15629</v>
      </c>
      <c r="KE19" s="10">
        <v>43722</v>
      </c>
      <c r="KF19" s="10">
        <v>22987</v>
      </c>
      <c r="KG19" s="4"/>
      <c r="KH19" s="10">
        <v>60973</v>
      </c>
      <c r="KI19" s="10"/>
      <c r="KJ19" s="10">
        <v>49425</v>
      </c>
      <c r="KK19" s="10"/>
      <c r="KL19" s="4"/>
      <c r="KM19" s="10">
        <v>13948</v>
      </c>
      <c r="KN19" s="4"/>
      <c r="KO19" s="4"/>
      <c r="KP19" s="4"/>
      <c r="KQ19" s="4"/>
      <c r="KR19" s="10"/>
      <c r="KS19" s="4"/>
      <c r="KT19" s="4"/>
      <c r="KU19" s="4"/>
      <c r="KV19" s="4"/>
      <c r="KW19" s="4"/>
      <c r="KX19" s="18"/>
      <c r="KY19" s="4"/>
      <c r="KZ19" s="77">
        <f t="shared" si="23"/>
        <v>-3.2808974680371022E-3</v>
      </c>
      <c r="LA19" s="8">
        <f t="shared" si="3"/>
        <v>318073</v>
      </c>
      <c r="LB19" s="2"/>
      <c r="LC19" s="43"/>
      <c r="MO19" s="172"/>
      <c r="NO19" s="77"/>
      <c r="NP19" s="63"/>
      <c r="NQ19"/>
      <c r="NR19" s="77" t="e">
        <f t="shared" si="24"/>
        <v>#DIV/0!</v>
      </c>
      <c r="NS19" s="8">
        <f t="shared" si="4"/>
        <v>0</v>
      </c>
      <c r="NT19" s="2"/>
      <c r="NU19" s="3" t="s">
        <v>295</v>
      </c>
      <c r="NV19" s="4">
        <v>6308</v>
      </c>
      <c r="NW19" s="4"/>
      <c r="NX19" s="4">
        <v>26257</v>
      </c>
      <c r="NY19" s="4"/>
      <c r="NZ19" s="4">
        <v>27111</v>
      </c>
      <c r="OA19" s="4"/>
      <c r="OB19" s="4"/>
      <c r="OC19" s="4"/>
      <c r="OD19" s="4"/>
      <c r="OE19" s="77">
        <f t="shared" si="25"/>
        <v>9.5924478505811303E-3</v>
      </c>
      <c r="OF19" s="8">
        <f t="shared" si="5"/>
        <v>59676</v>
      </c>
      <c r="OG19" s="2"/>
      <c r="OJ19" s="40"/>
      <c r="OK19" s="40"/>
      <c r="OL19" s="40"/>
      <c r="OM19" s="40"/>
      <c r="ON19" s="40"/>
      <c r="OO19" s="40"/>
      <c r="OQ19" s="40"/>
      <c r="OR19" s="77"/>
      <c r="OS19" s="35"/>
      <c r="OT19" s="37"/>
      <c r="OU19" s="126">
        <f t="shared" si="6"/>
        <v>700108</v>
      </c>
      <c r="OV19" s="71">
        <f t="shared" si="9"/>
        <v>-2.6299758837748152E-2</v>
      </c>
      <c r="OW19" s="139">
        <f>IF(A19="","",SUM(Z$17:Z19))</f>
        <v>20000</v>
      </c>
      <c r="OX19" s="139">
        <f t="shared" si="13"/>
        <v>720108</v>
      </c>
      <c r="OY19" s="132">
        <f t="shared" si="14"/>
        <v>9.1355107772120928E-3</v>
      </c>
      <c r="OZ19" s="140">
        <f t="shared" si="7"/>
        <v>663462</v>
      </c>
      <c r="PA19" s="84">
        <f t="shared" si="15"/>
        <v>7.2400155660334669E-4</v>
      </c>
      <c r="PB19" s="130">
        <f>IF(A19="","",SUM(HB$17:HB19)+SUM(KY$17:KY19))</f>
        <v>0</v>
      </c>
      <c r="PC19" s="131">
        <f t="shared" si="16"/>
        <v>663462</v>
      </c>
      <c r="PD19" s="132">
        <f t="shared" si="17"/>
        <v>4.4525457933964245E-3</v>
      </c>
      <c r="PE19" s="133"/>
      <c r="PF19" s="134"/>
      <c r="PG19" s="133"/>
      <c r="PH19" s="134"/>
      <c r="PI19" s="135">
        <f t="shared" si="8"/>
        <v>1363570</v>
      </c>
      <c r="PJ19" s="136">
        <f t="shared" si="10"/>
        <v>-1.3335745296671491E-2</v>
      </c>
      <c r="PK19" s="123"/>
      <c r="PL19" s="137">
        <f t="shared" si="18"/>
        <v>20000</v>
      </c>
      <c r="PM19" s="9">
        <f t="shared" si="19"/>
        <v>1383570</v>
      </c>
      <c r="PN19" s="138">
        <f t="shared" si="20"/>
        <v>6.884456120689028E-3</v>
      </c>
      <c r="PO19" s="86">
        <f>IF(PI19="","",MAX(PI$15:PI19))</f>
        <v>1382000</v>
      </c>
      <c r="PP19" s="113">
        <f t="shared" si="11"/>
        <v>-1.351599111156743E-2</v>
      </c>
      <c r="PQ19" s="41"/>
      <c r="PR19" s="302"/>
    </row>
    <row r="20" spans="1:434" s="1" customFormat="1" ht="15" customHeight="1" x14ac:dyDescent="0.45">
      <c r="A20" s="18">
        <v>42955</v>
      </c>
      <c r="B20" s="3" t="s">
        <v>295</v>
      </c>
      <c r="C20" s="4">
        <v>41818</v>
      </c>
      <c r="D20" s="10"/>
      <c r="E20" s="10"/>
      <c r="F20" s="10"/>
      <c r="G20" s="4"/>
      <c r="H20" s="4"/>
      <c r="I20" s="4"/>
      <c r="J20" s="4"/>
      <c r="K20" s="4"/>
      <c r="L20" s="4"/>
      <c r="M20" s="4"/>
      <c r="N20" s="4"/>
      <c r="O20" s="10"/>
      <c r="P20" s="4"/>
      <c r="Q20" s="4"/>
      <c r="R20" s="4"/>
      <c r="S20" s="4"/>
      <c r="T20" s="4"/>
      <c r="U20" s="10">
        <v>52519</v>
      </c>
      <c r="V20" s="10"/>
      <c r="W20" s="10"/>
      <c r="X20" s="4"/>
      <c r="Y20" s="18">
        <f t="shared" ref="Y20:Y28" si="26">IF(HA20="","",HA20)</f>
        <v>42954</v>
      </c>
      <c r="Z20" s="4"/>
      <c r="AA20" s="77">
        <f t="shared" si="21"/>
        <v>4.7724091121197982E-4</v>
      </c>
      <c r="AB20" s="8">
        <f t="shared" si="0"/>
        <v>94337</v>
      </c>
      <c r="AC20" s="2"/>
      <c r="AD20" s="3" t="s">
        <v>295</v>
      </c>
      <c r="AE20" s="4">
        <v>13</v>
      </c>
      <c r="AF20" s="4">
        <v>327017</v>
      </c>
      <c r="AG20" s="4"/>
      <c r="AH20" s="4"/>
      <c r="AJ20" s="4"/>
      <c r="AK20" s="4"/>
      <c r="AL20" s="4"/>
      <c r="AM20" s="4"/>
      <c r="AO20" s="4"/>
      <c r="AP20" s="10"/>
      <c r="AQ20" s="4"/>
      <c r="AR20" s="4"/>
      <c r="AS20" s="4"/>
      <c r="AT20" s="4"/>
      <c r="AU20" s="4"/>
      <c r="AW20" s="4"/>
      <c r="AX20" s="4"/>
      <c r="AY20" s="4"/>
      <c r="AZ20" s="4"/>
      <c r="BA20" s="4"/>
      <c r="BB20" s="4"/>
      <c r="BC20" s="4"/>
      <c r="BD20" s="4"/>
      <c r="BE20" s="4"/>
      <c r="BF20" s="4"/>
      <c r="BH20" s="4">
        <v>19978</v>
      </c>
      <c r="BI20" s="4"/>
      <c r="BJ20" s="4"/>
      <c r="BK20" s="4"/>
      <c r="BL20" s="4"/>
      <c r="BM20" s="4"/>
      <c r="BN20" s="4"/>
      <c r="BO20" s="4"/>
      <c r="BP20" s="4"/>
      <c r="BQ20" s="4"/>
      <c r="BS20" s="10"/>
      <c r="BT20" s="4"/>
      <c r="BU20" s="4"/>
      <c r="BV20" s="4"/>
      <c r="BW20" s="4"/>
      <c r="CA20" s="4">
        <v>93075</v>
      </c>
      <c r="CB20" s="4"/>
      <c r="CC20" s="4">
        <v>106428</v>
      </c>
      <c r="CD20" s="4"/>
      <c r="CE20" s="4"/>
      <c r="CF20" s="4"/>
      <c r="CG20" s="4"/>
      <c r="CH20" s="4"/>
      <c r="CI20" s="4"/>
      <c r="CJ20" s="10"/>
      <c r="CK20" s="4"/>
      <c r="CL20" s="10"/>
      <c r="CN20" s="4"/>
      <c r="CO20" s="10"/>
      <c r="CP20" s="4"/>
      <c r="CQ20" s="4"/>
      <c r="CR20" s="10"/>
      <c r="CS20" s="4"/>
      <c r="CT20" s="4"/>
      <c r="CU20" s="4"/>
      <c r="CV20" s="4"/>
      <c r="CW20" s="4"/>
      <c r="CX20" s="4"/>
      <c r="CY20" s="77">
        <f t="shared" si="12"/>
        <v>6.7931299666752114E-4</v>
      </c>
      <c r="CZ20" s="8">
        <f t="shared" si="1"/>
        <v>546511</v>
      </c>
      <c r="DA20" s="2"/>
      <c r="DH20" s="4"/>
      <c r="DJ20" s="4"/>
      <c r="DX20" s="2"/>
      <c r="DY20" s="32"/>
      <c r="DZ20" s="4">
        <v>6308</v>
      </c>
      <c r="EA20" s="32"/>
      <c r="EB20" s="32"/>
      <c r="EC20" s="32"/>
      <c r="ED20" s="32"/>
      <c r="EE20" s="4"/>
      <c r="EF20" s="4"/>
      <c r="EG20" s="32"/>
      <c r="EH20" s="32"/>
      <c r="EI20" s="32"/>
      <c r="EJ20" s="32"/>
      <c r="EK20" s="5"/>
      <c r="EO20" s="2"/>
      <c r="EQ20" s="468" t="s">
        <v>1</v>
      </c>
      <c r="ER20"/>
      <c r="ES20" s="6" t="s">
        <v>300</v>
      </c>
      <c r="ET20" s="10"/>
      <c r="EU20" s="10"/>
      <c r="EV20" s="10"/>
      <c r="EW20" s="10"/>
      <c r="EX20" s="4">
        <f>181130-34951</f>
        <v>146179</v>
      </c>
      <c r="EY20" s="4">
        <v>19237</v>
      </c>
      <c r="EZ20" s="4"/>
      <c r="FA20" s="4"/>
      <c r="FB20" s="4"/>
      <c r="FC20" s="4"/>
      <c r="FD20" s="4"/>
      <c r="FE20" s="4"/>
      <c r="FF20" s="4"/>
      <c r="FG20" s="4"/>
      <c r="FH20" s="10">
        <v>18882</v>
      </c>
      <c r="FI20" s="10">
        <v>17670</v>
      </c>
      <c r="FJ20" s="10"/>
      <c r="FK20" s="10"/>
      <c r="FL20" s="10"/>
      <c r="FM20" s="10"/>
      <c r="FN20" s="4"/>
      <c r="FO20" s="4"/>
      <c r="FP20" s="10">
        <v>16480</v>
      </c>
      <c r="FQ20" s="4"/>
      <c r="FR20" s="4"/>
      <c r="FS20" s="10">
        <v>16645</v>
      </c>
      <c r="FT20" s="4"/>
      <c r="FU20" s="4"/>
      <c r="FV20" s="4"/>
      <c r="FW20" s="4"/>
      <c r="FX20" s="4"/>
      <c r="FY20" s="4"/>
      <c r="FZ20" s="10">
        <v>17487</v>
      </c>
      <c r="GA20" s="10">
        <v>18160</v>
      </c>
      <c r="GB20" s="10"/>
      <c r="GC20" s="10"/>
      <c r="GD20" s="4"/>
      <c r="GE20" s="4"/>
      <c r="GF20" s="4"/>
      <c r="GG20" s="4"/>
      <c r="GH20" s="4"/>
      <c r="GI20" s="4"/>
      <c r="GJ20" s="4"/>
      <c r="GK20" s="4"/>
      <c r="GL20" s="4"/>
      <c r="GM20" s="4">
        <v>16116</v>
      </c>
      <c r="GN20" s="10">
        <v>16220</v>
      </c>
      <c r="GO20" s="10">
        <v>18127</v>
      </c>
      <c r="GP20" s="4"/>
      <c r="GQ20" s="10"/>
      <c r="GR20" s="4"/>
      <c r="GS20" s="10"/>
      <c r="GT20" s="4"/>
      <c r="GU20" s="10"/>
      <c r="GV20" s="4"/>
      <c r="GW20" s="10"/>
      <c r="GX20" s="10">
        <v>19360</v>
      </c>
      <c r="GY20" s="10"/>
      <c r="GZ20" s="10"/>
      <c r="HA20" s="18">
        <v>42954</v>
      </c>
      <c r="HB20" s="4">
        <v>3750</v>
      </c>
      <c r="HC20" s="77">
        <f t="shared" si="22"/>
        <v>-1.3972651126700618E-2</v>
      </c>
      <c r="HD20" s="8">
        <f t="shared" si="2"/>
        <v>340563</v>
      </c>
      <c r="HE20" s="2"/>
      <c r="HF20" s="3" t="s">
        <v>295</v>
      </c>
      <c r="HG20" s="4">
        <v>20530</v>
      </c>
      <c r="HH20" s="4"/>
      <c r="HI20" s="4"/>
      <c r="HJ20" s="4"/>
      <c r="HK20" s="4"/>
      <c r="HL20" s="4"/>
      <c r="HM20" s="4"/>
      <c r="HN20" s="4"/>
      <c r="HO20" s="4"/>
      <c r="HP20" s="4"/>
      <c r="HQ20" s="4"/>
      <c r="HR20" s="4"/>
      <c r="HS20" s="4"/>
      <c r="HT20" s="10"/>
      <c r="HU20" s="10"/>
      <c r="HV20" s="4"/>
      <c r="HW20" s="4"/>
      <c r="HX20" s="4"/>
      <c r="HY20" s="4"/>
      <c r="HZ20" s="4"/>
      <c r="IA20" s="4"/>
      <c r="IB20" s="4"/>
      <c r="IC20" s="4"/>
      <c r="ID20" s="10">
        <v>17998</v>
      </c>
      <c r="IE20" s="4"/>
      <c r="IF20" s="10"/>
      <c r="IG20" s="4"/>
      <c r="IH20" s="4"/>
      <c r="II20" s="4"/>
      <c r="IJ20" s="4"/>
      <c r="IK20" s="4"/>
      <c r="IL20" s="4"/>
      <c r="IM20" s="4"/>
      <c r="IN20" s="4"/>
      <c r="IO20" s="4"/>
      <c r="IP20" s="4"/>
      <c r="IQ20" s="4"/>
      <c r="IR20" s="4"/>
      <c r="IS20" s="4"/>
      <c r="IT20" s="10">
        <v>18220</v>
      </c>
      <c r="IU20" s="4"/>
      <c r="IV20" s="4"/>
      <c r="IW20" s="4"/>
      <c r="IX20" s="10">
        <v>18642</v>
      </c>
      <c r="IY20" s="4"/>
      <c r="IZ20" s="4"/>
      <c r="JA20" s="4"/>
      <c r="JB20" s="4"/>
      <c r="JC20" s="4"/>
      <c r="JD20" s="4"/>
      <c r="JE20" s="4"/>
      <c r="JF20" s="10"/>
      <c r="JG20" s="10"/>
      <c r="JH20" s="10"/>
      <c r="JI20" s="4"/>
      <c r="JJ20" s="4"/>
      <c r="JK20" s="4"/>
      <c r="JL20" s="4">
        <v>18714</v>
      </c>
      <c r="JM20" s="4"/>
      <c r="JN20" s="10"/>
      <c r="JO20" s="10">
        <v>15185</v>
      </c>
      <c r="JP20" s="4"/>
      <c r="JQ20" s="4"/>
      <c r="JR20" s="4"/>
      <c r="JS20" s="4"/>
      <c r="JT20" s="4"/>
      <c r="JU20" s="10"/>
      <c r="JV20" s="4"/>
      <c r="JW20" s="4"/>
      <c r="JX20" s="4"/>
      <c r="JY20" s="4"/>
      <c r="JZ20" s="4"/>
      <c r="KA20" s="4"/>
      <c r="KB20" s="4"/>
      <c r="KC20" s="4"/>
      <c r="KD20" s="10">
        <v>15459</v>
      </c>
      <c r="KE20" s="10">
        <v>43482</v>
      </c>
      <c r="KF20" s="10">
        <v>22501</v>
      </c>
      <c r="KG20" s="4"/>
      <c r="KH20" s="10">
        <v>60949</v>
      </c>
      <c r="KI20" s="10"/>
      <c r="KJ20" s="10">
        <v>49576</v>
      </c>
      <c r="KK20" s="10"/>
      <c r="KL20" s="4"/>
      <c r="KM20" s="10">
        <v>14046</v>
      </c>
      <c r="KN20" s="4"/>
      <c r="KO20" s="4"/>
      <c r="KP20" s="4"/>
      <c r="KQ20" s="4"/>
      <c r="KR20" s="10"/>
      <c r="KS20" s="4"/>
      <c r="KT20" s="4"/>
      <c r="KU20" s="4"/>
      <c r="KV20" s="4"/>
      <c r="KW20" s="4"/>
      <c r="KX20" s="18"/>
      <c r="KY20" s="4"/>
      <c r="KZ20" s="77">
        <f t="shared" si="23"/>
        <v>-8.7118365909712552E-3</v>
      </c>
      <c r="LA20" s="8">
        <f t="shared" si="3"/>
        <v>315302</v>
      </c>
      <c r="LB20" s="2"/>
      <c r="LC20" s="43"/>
      <c r="MO20" s="172"/>
      <c r="NO20" s="77"/>
      <c r="NP20" s="63"/>
      <c r="NQ20"/>
      <c r="NR20" s="77" t="e">
        <f t="shared" si="24"/>
        <v>#DIV/0!</v>
      </c>
      <c r="NS20" s="8">
        <f t="shared" si="4"/>
        <v>0</v>
      </c>
      <c r="NT20" s="2"/>
      <c r="NU20" s="3" t="s">
        <v>295</v>
      </c>
      <c r="NV20" s="4">
        <v>6308</v>
      </c>
      <c r="NW20" s="4"/>
      <c r="NX20" s="4">
        <v>26449</v>
      </c>
      <c r="NY20" s="4"/>
      <c r="NZ20" s="4">
        <v>27247</v>
      </c>
      <c r="OA20" s="4"/>
      <c r="OB20" s="4"/>
      <c r="OC20" s="4"/>
      <c r="OD20" s="4"/>
      <c r="OE20" s="77">
        <f t="shared" si="25"/>
        <v>5.4963469401434414E-3</v>
      </c>
      <c r="OF20" s="8">
        <f t="shared" si="5"/>
        <v>60004</v>
      </c>
      <c r="OG20" s="2"/>
      <c r="OJ20" s="40"/>
      <c r="OK20" s="40"/>
      <c r="OL20" s="40"/>
      <c r="OM20" s="40"/>
      <c r="ON20" s="40"/>
      <c r="OO20" s="40"/>
      <c r="OQ20" s="40"/>
      <c r="OR20" s="77"/>
      <c r="OS20" s="35"/>
      <c r="OT20" s="37"/>
      <c r="OU20" s="126">
        <f t="shared" si="6"/>
        <v>700852</v>
      </c>
      <c r="OV20" s="71">
        <f t="shared" si="9"/>
        <v>1.0626931844801087E-3</v>
      </c>
      <c r="OW20" s="139">
        <f>IF(A20="","",SUM(Z$17:Z20))</f>
        <v>20000</v>
      </c>
      <c r="OX20" s="139">
        <f t="shared" si="13"/>
        <v>720852</v>
      </c>
      <c r="OY20" s="132">
        <f t="shared" si="14"/>
        <v>1.0178127745803256E-2</v>
      </c>
      <c r="OZ20" s="140">
        <f t="shared" si="7"/>
        <v>655865</v>
      </c>
      <c r="PA20" s="84">
        <f t="shared" si="15"/>
        <v>-1.1450542759042719E-2</v>
      </c>
      <c r="PB20" s="130">
        <f>IF(A20="","",SUM(HB$17:HB20)+SUM(KY$17:KY20))</f>
        <v>3750</v>
      </c>
      <c r="PC20" s="131">
        <f t="shared" si="16"/>
        <v>659615</v>
      </c>
      <c r="PD20" s="132">
        <f t="shared" si="17"/>
        <v>-1.3716445048681269E-3</v>
      </c>
      <c r="PE20" s="133"/>
      <c r="PF20" s="134"/>
      <c r="PG20" s="133"/>
      <c r="PH20" s="134"/>
      <c r="PI20" s="135">
        <f t="shared" si="8"/>
        <v>1356717</v>
      </c>
      <c r="PJ20" s="136">
        <f t="shared" si="10"/>
        <v>-5.0257779211921646E-3</v>
      </c>
      <c r="PK20" s="123"/>
      <c r="PL20" s="137">
        <f t="shared" si="18"/>
        <v>23750</v>
      </c>
      <c r="PM20" s="9">
        <f t="shared" si="19"/>
        <v>1380467</v>
      </c>
      <c r="PN20" s="138">
        <f t="shared" si="20"/>
        <v>4.62626718384991E-3</v>
      </c>
      <c r="PO20" s="86">
        <f>IF(PI20="","",MAX(PI$15:PI20))</f>
        <v>1382000</v>
      </c>
      <c r="PP20" s="113">
        <f t="shared" si="11"/>
        <v>-1.8635426548056815E-2</v>
      </c>
      <c r="PQ20" s="41"/>
      <c r="PR20" s="302"/>
    </row>
    <row r="21" spans="1:434" s="1" customFormat="1" ht="15" customHeight="1" x14ac:dyDescent="0.45">
      <c r="A21" s="18">
        <v>42956</v>
      </c>
      <c r="B21" s="3" t="s">
        <v>295</v>
      </c>
      <c r="C21" s="4">
        <v>41818</v>
      </c>
      <c r="D21" s="10"/>
      <c r="E21" s="10"/>
      <c r="F21" s="10"/>
      <c r="G21" s="4"/>
      <c r="H21" s="4"/>
      <c r="I21" s="4"/>
      <c r="J21" s="4"/>
      <c r="K21" s="4"/>
      <c r="L21" s="4"/>
      <c r="M21" s="4"/>
      <c r="N21" s="4"/>
      <c r="O21" s="10"/>
      <c r="P21" s="4"/>
      <c r="Q21" s="4"/>
      <c r="R21" s="4"/>
      <c r="S21" s="4"/>
      <c r="T21" s="4"/>
      <c r="U21" s="10">
        <v>52565</v>
      </c>
      <c r="V21" s="10"/>
      <c r="W21" s="10"/>
      <c r="X21" s="4"/>
      <c r="Y21" s="18" t="str">
        <f t="shared" si="26"/>
        <v/>
      </c>
      <c r="Z21" s="4"/>
      <c r="AA21" s="77">
        <f t="shared" si="21"/>
        <v>4.8761355565684727E-4</v>
      </c>
      <c r="AB21" s="8">
        <f t="shared" si="0"/>
        <v>94383</v>
      </c>
      <c r="AC21" s="2"/>
      <c r="AD21" s="3" t="s">
        <v>295</v>
      </c>
      <c r="AE21" s="4">
        <v>13</v>
      </c>
      <c r="AF21" s="4">
        <v>326904</v>
      </c>
      <c r="AG21" s="4"/>
      <c r="AH21" s="4"/>
      <c r="AJ21" s="4"/>
      <c r="AK21" s="4"/>
      <c r="AL21" s="4"/>
      <c r="AM21" s="4"/>
      <c r="AO21" s="4"/>
      <c r="AP21" s="10"/>
      <c r="AQ21" s="4"/>
      <c r="AR21" s="4"/>
      <c r="AS21" s="4"/>
      <c r="AT21" s="4"/>
      <c r="AU21" s="4"/>
      <c r="AW21" s="4"/>
      <c r="AX21" s="4"/>
      <c r="AY21" s="4"/>
      <c r="AZ21" s="4"/>
      <c r="BA21" s="4"/>
      <c r="BB21" s="4"/>
      <c r="BC21" s="4"/>
      <c r="BD21" s="4"/>
      <c r="BE21" s="4"/>
      <c r="BF21" s="4"/>
      <c r="BH21" s="4">
        <v>20022</v>
      </c>
      <c r="BI21" s="4"/>
      <c r="BJ21" s="4"/>
      <c r="BK21" s="4"/>
      <c r="BL21" s="4"/>
      <c r="BM21" s="4"/>
      <c r="BN21" s="4"/>
      <c r="BO21" s="4"/>
      <c r="BP21" s="4"/>
      <c r="BQ21" s="4"/>
      <c r="BS21" s="10"/>
      <c r="BT21" s="4"/>
      <c r="BU21" s="4"/>
      <c r="BV21" s="4"/>
      <c r="BW21" s="4"/>
      <c r="CA21" s="4">
        <v>93000</v>
      </c>
      <c r="CB21" s="4"/>
      <c r="CC21" s="4">
        <v>106428</v>
      </c>
      <c r="CD21" s="4"/>
      <c r="CE21" s="4"/>
      <c r="CF21" s="4"/>
      <c r="CG21" s="4"/>
      <c r="CH21" s="4"/>
      <c r="CI21" s="4"/>
      <c r="CJ21" s="10"/>
      <c r="CK21" s="4"/>
      <c r="CL21" s="10"/>
      <c r="CN21" s="4"/>
      <c r="CO21" s="10"/>
      <c r="CP21" s="4"/>
      <c r="CQ21" s="4"/>
      <c r="CR21" s="10"/>
      <c r="CS21" s="4"/>
      <c r="CT21" s="4"/>
      <c r="CU21" s="4"/>
      <c r="CV21" s="4"/>
      <c r="CW21" s="4"/>
      <c r="CX21" s="4"/>
      <c r="CY21" s="77">
        <f t="shared" si="12"/>
        <v>-2.6348966443493361E-4</v>
      </c>
      <c r="CZ21" s="8">
        <f t="shared" si="1"/>
        <v>546367</v>
      </c>
      <c r="DA21" s="2"/>
      <c r="DH21" s="4"/>
      <c r="DJ21" s="4"/>
      <c r="DX21" s="2"/>
      <c r="DY21" s="32"/>
      <c r="DZ21" s="4">
        <v>6308</v>
      </c>
      <c r="EA21" s="32"/>
      <c r="EB21" s="32"/>
      <c r="EC21" s="32"/>
      <c r="ED21" s="32"/>
      <c r="EE21" s="4"/>
      <c r="EF21" s="4"/>
      <c r="EG21" s="32"/>
      <c r="EH21" s="32"/>
      <c r="EI21" s="32"/>
      <c r="EJ21" s="32"/>
      <c r="EK21" s="5"/>
      <c r="EO21" s="2"/>
      <c r="EQ21" s="468" t="s">
        <v>1</v>
      </c>
      <c r="ER21"/>
      <c r="ES21" s="6" t="s">
        <v>301</v>
      </c>
      <c r="ET21" s="10"/>
      <c r="EU21" s="10"/>
      <c r="EV21" s="10"/>
      <c r="EW21" s="10"/>
      <c r="EX21" s="4">
        <f>181125-52091</f>
        <v>129034</v>
      </c>
      <c r="EY21" s="4">
        <v>18836</v>
      </c>
      <c r="EZ21" s="4"/>
      <c r="FA21" s="4"/>
      <c r="FB21" s="4"/>
      <c r="FC21" s="4"/>
      <c r="FD21" s="4"/>
      <c r="FE21" s="4"/>
      <c r="FF21" s="4"/>
      <c r="FG21" s="4"/>
      <c r="FH21" s="10">
        <v>18810</v>
      </c>
      <c r="FI21" s="10">
        <v>17625</v>
      </c>
      <c r="FJ21" s="10"/>
      <c r="FK21" s="10"/>
      <c r="FL21" s="10"/>
      <c r="FM21" s="10"/>
      <c r="FN21" s="4"/>
      <c r="FO21" s="4"/>
      <c r="FP21" s="10">
        <v>16432</v>
      </c>
      <c r="FQ21" s="4"/>
      <c r="FR21" s="4"/>
      <c r="FS21" s="10">
        <v>16424</v>
      </c>
      <c r="FT21" s="4"/>
      <c r="FU21" s="4"/>
      <c r="FV21" s="4"/>
      <c r="FW21" s="4"/>
      <c r="FX21" s="4"/>
      <c r="FY21" s="4"/>
      <c r="FZ21" s="10">
        <v>17494</v>
      </c>
      <c r="GA21" s="10">
        <v>17984</v>
      </c>
      <c r="GB21" s="10"/>
      <c r="GC21" s="10"/>
      <c r="GD21" s="4"/>
      <c r="GE21" s="4"/>
      <c r="GF21" s="4">
        <v>16968</v>
      </c>
      <c r="GG21" s="4"/>
      <c r="GH21" s="4"/>
      <c r="GI21" s="4"/>
      <c r="GJ21" s="4"/>
      <c r="GK21" s="4"/>
      <c r="GL21" s="4"/>
      <c r="GM21" s="4">
        <v>16035</v>
      </c>
      <c r="GN21" s="10">
        <v>15923</v>
      </c>
      <c r="GO21" s="10">
        <v>17889</v>
      </c>
      <c r="GP21" s="4"/>
      <c r="GQ21" s="10"/>
      <c r="GR21" s="4"/>
      <c r="GS21" s="10"/>
      <c r="GT21" s="4"/>
      <c r="GU21" s="10"/>
      <c r="GV21" s="4"/>
      <c r="GW21" s="10"/>
      <c r="GX21" s="10">
        <v>19252</v>
      </c>
      <c r="GY21" s="10"/>
      <c r="GZ21" s="10"/>
      <c r="HA21" s="18"/>
      <c r="HB21" s="4"/>
      <c r="HC21" s="77">
        <f t="shared" si="22"/>
        <v>-5.4527356171985798E-3</v>
      </c>
      <c r="HD21" s="8">
        <f t="shared" si="2"/>
        <v>338706</v>
      </c>
      <c r="HE21" s="2"/>
      <c r="HF21" s="3" t="s">
        <v>295</v>
      </c>
      <c r="HG21" s="4">
        <v>20530</v>
      </c>
      <c r="HH21" s="4"/>
      <c r="HI21" s="4"/>
      <c r="HJ21" s="4"/>
      <c r="HK21" s="4"/>
      <c r="HL21" s="4"/>
      <c r="HM21" s="4"/>
      <c r="HN21" s="4"/>
      <c r="HO21" s="4"/>
      <c r="HP21" s="4"/>
      <c r="HQ21" s="4"/>
      <c r="HR21" s="4"/>
      <c r="HS21" s="4"/>
      <c r="HT21" s="10"/>
      <c r="HU21" s="10"/>
      <c r="HV21" s="4"/>
      <c r="HW21" s="4"/>
      <c r="HX21" s="4"/>
      <c r="HY21" s="4"/>
      <c r="HZ21" s="4"/>
      <c r="IA21" s="4"/>
      <c r="IB21" s="4"/>
      <c r="IC21" s="4"/>
      <c r="ID21" s="10">
        <v>17794</v>
      </c>
      <c r="IE21" s="4"/>
      <c r="IF21" s="10"/>
      <c r="IG21" s="4"/>
      <c r="IH21" s="4"/>
      <c r="II21" s="4"/>
      <c r="IJ21" s="4"/>
      <c r="IK21" s="4"/>
      <c r="IL21" s="4"/>
      <c r="IM21" s="4"/>
      <c r="IN21" s="4"/>
      <c r="IO21" s="4"/>
      <c r="IP21" s="4"/>
      <c r="IQ21" s="4"/>
      <c r="IR21" s="4"/>
      <c r="IS21" s="4"/>
      <c r="IT21" s="10">
        <v>18185</v>
      </c>
      <c r="IU21" s="4"/>
      <c r="IV21" s="4"/>
      <c r="IW21" s="4"/>
      <c r="IX21" s="10">
        <v>18536</v>
      </c>
      <c r="IY21" s="4"/>
      <c r="IZ21" s="4"/>
      <c r="JA21" s="4"/>
      <c r="JB21" s="4"/>
      <c r="JC21" s="4"/>
      <c r="JD21" s="4"/>
      <c r="JE21" s="4"/>
      <c r="JF21" s="10"/>
      <c r="JG21" s="10"/>
      <c r="JH21" s="10"/>
      <c r="JI21" s="4"/>
      <c r="JJ21" s="4"/>
      <c r="JK21" s="4"/>
      <c r="JL21" s="4">
        <v>18719</v>
      </c>
      <c r="JM21" s="4"/>
      <c r="JN21" s="10"/>
      <c r="JO21" s="10">
        <v>15310</v>
      </c>
      <c r="JP21" s="4"/>
      <c r="JQ21" s="4"/>
      <c r="JR21" s="4"/>
      <c r="JS21" s="4"/>
      <c r="JT21" s="4"/>
      <c r="JU21" s="10"/>
      <c r="JV21" s="4"/>
      <c r="JW21" s="4"/>
      <c r="JX21" s="4"/>
      <c r="JY21" s="4"/>
      <c r="JZ21" s="4"/>
      <c r="KA21" s="4"/>
      <c r="KB21" s="4"/>
      <c r="KC21" s="4"/>
      <c r="KD21" s="10">
        <v>15343</v>
      </c>
      <c r="KE21" s="10">
        <v>43545</v>
      </c>
      <c r="KF21" s="10">
        <v>22418</v>
      </c>
      <c r="KG21" s="4"/>
      <c r="KH21" s="10">
        <v>60322</v>
      </c>
      <c r="KI21" s="10"/>
      <c r="KJ21" s="10">
        <v>49112</v>
      </c>
      <c r="KK21" s="10"/>
      <c r="KL21" s="4"/>
      <c r="KM21" s="10">
        <v>14050</v>
      </c>
      <c r="KN21" s="4"/>
      <c r="KO21" s="4"/>
      <c r="KP21" s="4"/>
      <c r="KQ21" s="4"/>
      <c r="KR21" s="10"/>
      <c r="KS21" s="4"/>
      <c r="KT21" s="4"/>
      <c r="KU21" s="4"/>
      <c r="KV21" s="4"/>
      <c r="KW21" s="4"/>
      <c r="KX21" s="18"/>
      <c r="KY21" s="4"/>
      <c r="KZ21" s="77">
        <f t="shared" si="23"/>
        <v>-4.560706877850442E-3</v>
      </c>
      <c r="LA21" s="8">
        <f t="shared" si="3"/>
        <v>313864</v>
      </c>
      <c r="LB21" s="2"/>
      <c r="LC21" s="43"/>
      <c r="MO21" s="172"/>
      <c r="NO21" s="77"/>
      <c r="NP21" s="63"/>
      <c r="NQ21"/>
      <c r="NR21" s="77" t="e">
        <f t="shared" si="24"/>
        <v>#DIV/0!</v>
      </c>
      <c r="NS21" s="8">
        <f t="shared" si="4"/>
        <v>0</v>
      </c>
      <c r="NT21" s="2"/>
      <c r="NU21" s="3" t="s">
        <v>295</v>
      </c>
      <c r="NV21" s="4">
        <v>6308</v>
      </c>
      <c r="NW21" s="4"/>
      <c r="NX21" s="4">
        <v>26294</v>
      </c>
      <c r="NY21" s="4"/>
      <c r="NZ21" s="4">
        <v>27048</v>
      </c>
      <c r="OA21" s="4"/>
      <c r="OB21" s="4"/>
      <c r="OC21" s="4"/>
      <c r="OD21" s="4"/>
      <c r="OE21" s="77">
        <f t="shared" si="25"/>
        <v>-5.8996066928871408E-3</v>
      </c>
      <c r="OF21" s="8">
        <f t="shared" si="5"/>
        <v>59650</v>
      </c>
      <c r="OG21" s="2"/>
      <c r="OJ21" s="40"/>
      <c r="OK21" s="40"/>
      <c r="OL21" s="40"/>
      <c r="OM21" s="40"/>
      <c r="ON21" s="40"/>
      <c r="OO21" s="40"/>
      <c r="OQ21" s="40"/>
      <c r="OR21" s="77"/>
      <c r="OS21" s="35"/>
      <c r="OT21" s="37"/>
      <c r="OU21" s="126">
        <f t="shared" si="6"/>
        <v>700400</v>
      </c>
      <c r="OV21" s="71">
        <f t="shared" si="9"/>
        <v>-6.4492931460565146E-4</v>
      </c>
      <c r="OW21" s="139">
        <f>IF(A21="","",SUM(Z$17:Z21))</f>
        <v>20000</v>
      </c>
      <c r="OX21" s="139">
        <f t="shared" si="13"/>
        <v>720400</v>
      </c>
      <c r="OY21" s="132">
        <f t="shared" si="14"/>
        <v>9.544709910046259E-3</v>
      </c>
      <c r="OZ21" s="140">
        <f t="shared" si="7"/>
        <v>652570</v>
      </c>
      <c r="PA21" s="84">
        <f t="shared" si="15"/>
        <v>-5.0238997354638531E-3</v>
      </c>
      <c r="PB21" s="130">
        <f>IF(A21="","",SUM(HB$17:HB21)+SUM(KY$17:KY21))</f>
        <v>3750</v>
      </c>
      <c r="PC21" s="131">
        <f t="shared" si="16"/>
        <v>656320</v>
      </c>
      <c r="PD21" s="132">
        <f t="shared" si="17"/>
        <v>-6.3601308663918327E-3</v>
      </c>
      <c r="PE21" s="133"/>
      <c r="PF21" s="134"/>
      <c r="PG21" s="133"/>
      <c r="PH21" s="134"/>
      <c r="PI21" s="135">
        <f t="shared" si="8"/>
        <v>1352970</v>
      </c>
      <c r="PJ21" s="136">
        <f t="shared" si="10"/>
        <v>-2.7618139965814538E-3</v>
      </c>
      <c r="PK21" s="123"/>
      <c r="PL21" s="137">
        <f t="shared" si="18"/>
        <v>23750</v>
      </c>
      <c r="PM21" s="9">
        <f t="shared" si="19"/>
        <v>1376720</v>
      </c>
      <c r="PN21" s="138">
        <f t="shared" si="20"/>
        <v>1.8994112552852391E-3</v>
      </c>
      <c r="PO21" s="86">
        <f>IF(PI21="","",MAX(PI$15:PI21))</f>
        <v>1382000</v>
      </c>
      <c r="PP21" s="113">
        <f t="shared" si="11"/>
        <v>-2.1456499405012677E-2</v>
      </c>
      <c r="PQ21" s="41"/>
      <c r="PR21" s="302"/>
    </row>
    <row r="22" spans="1:434" s="1" customFormat="1" ht="15" customHeight="1" x14ac:dyDescent="0.45">
      <c r="A22" s="18">
        <v>42976</v>
      </c>
      <c r="B22" s="3" t="s">
        <v>295</v>
      </c>
      <c r="C22" s="4">
        <v>41957</v>
      </c>
      <c r="D22" s="10"/>
      <c r="E22" s="10"/>
      <c r="F22" s="10"/>
      <c r="G22" s="4"/>
      <c r="H22" s="4"/>
      <c r="I22" s="4"/>
      <c r="J22" s="4"/>
      <c r="K22" s="4"/>
      <c r="L22" s="4"/>
      <c r="M22" s="4"/>
      <c r="N22" s="4"/>
      <c r="O22" s="10"/>
      <c r="P22" s="4"/>
      <c r="Q22" s="4"/>
      <c r="R22" s="4"/>
      <c r="S22" s="4"/>
      <c r="T22" s="4"/>
      <c r="U22" s="10">
        <v>52610</v>
      </c>
      <c r="V22" s="10"/>
      <c r="W22" s="10"/>
      <c r="X22" s="4"/>
      <c r="Y22" s="18" t="str">
        <f t="shared" si="26"/>
        <v/>
      </c>
      <c r="Z22" s="4"/>
      <c r="AA22" s="77">
        <f t="shared" si="21"/>
        <v>1.949503618236335E-3</v>
      </c>
      <c r="AB22" s="8">
        <f t="shared" si="0"/>
        <v>94567</v>
      </c>
      <c r="AC22" s="2"/>
      <c r="AD22" s="3" t="s">
        <v>295</v>
      </c>
      <c r="AE22" s="4">
        <v>529</v>
      </c>
      <c r="AF22" s="4">
        <v>328017</v>
      </c>
      <c r="AG22" s="4"/>
      <c r="AH22" s="4"/>
      <c r="AJ22" s="4"/>
      <c r="AK22" s="4"/>
      <c r="AL22" s="4"/>
      <c r="AM22" s="4"/>
      <c r="AO22" s="4"/>
      <c r="AP22" s="10"/>
      <c r="AQ22" s="4"/>
      <c r="AR22" s="4"/>
      <c r="AS22" s="4"/>
      <c r="AT22" s="4"/>
      <c r="AU22" s="4"/>
      <c r="AW22" s="4"/>
      <c r="AX22" s="4"/>
      <c r="AY22" s="4"/>
      <c r="AZ22" s="4"/>
      <c r="BA22" s="4"/>
      <c r="BB22" s="4"/>
      <c r="BC22" s="4"/>
      <c r="BD22" s="4"/>
      <c r="BE22" s="4"/>
      <c r="BF22" s="4"/>
      <c r="BH22" s="4">
        <v>20081</v>
      </c>
      <c r="BI22" s="4"/>
      <c r="BJ22" s="4"/>
      <c r="BK22" s="4"/>
      <c r="BL22" s="4"/>
      <c r="BM22" s="4"/>
      <c r="BN22" s="4"/>
      <c r="BO22" s="4"/>
      <c r="BP22" s="4"/>
      <c r="BQ22" s="4"/>
      <c r="BS22" s="10"/>
      <c r="BT22" s="4"/>
      <c r="BU22" s="4"/>
      <c r="BV22" s="4"/>
      <c r="BW22" s="4"/>
      <c r="CA22" s="4">
        <v>93300</v>
      </c>
      <c r="CB22" s="4"/>
      <c r="CC22" s="4">
        <v>106520</v>
      </c>
      <c r="CD22" s="4"/>
      <c r="CE22" s="4"/>
      <c r="CF22" s="4"/>
      <c r="CG22" s="4"/>
      <c r="CH22" s="4"/>
      <c r="CI22" s="4"/>
      <c r="CJ22" s="10"/>
      <c r="CK22" s="4"/>
      <c r="CL22" s="10"/>
      <c r="CN22" s="4"/>
      <c r="CO22" s="10"/>
      <c r="CP22" s="4"/>
      <c r="CQ22" s="4"/>
      <c r="CR22" s="10"/>
      <c r="CS22" s="4"/>
      <c r="CT22" s="4"/>
      <c r="CU22" s="4"/>
      <c r="CV22" s="4"/>
      <c r="CW22" s="4"/>
      <c r="CX22" s="4"/>
      <c r="CY22" s="77">
        <f t="shared" si="12"/>
        <v>3.8069649155238147E-3</v>
      </c>
      <c r="CZ22" s="8">
        <f t="shared" si="1"/>
        <v>548447</v>
      </c>
      <c r="DA22" s="2"/>
      <c r="DH22" s="4"/>
      <c r="DJ22" s="4"/>
      <c r="DX22" s="2"/>
      <c r="DY22" s="32"/>
      <c r="DZ22" s="4">
        <v>6308</v>
      </c>
      <c r="EA22" s="32"/>
      <c r="EB22" s="32"/>
      <c r="EC22" s="32"/>
      <c r="ED22" s="32"/>
      <c r="EE22" s="4"/>
      <c r="EF22" s="4"/>
      <c r="EG22" s="32"/>
      <c r="EH22" s="32"/>
      <c r="EI22" s="32"/>
      <c r="EJ22" s="32"/>
      <c r="EK22" s="5"/>
      <c r="EO22" s="2"/>
      <c r="EQ22" s="468" t="s">
        <v>1</v>
      </c>
      <c r="ER22"/>
      <c r="ES22" s="6" t="s">
        <v>302</v>
      </c>
      <c r="ET22" s="10"/>
      <c r="EU22" s="10"/>
      <c r="EV22" s="10"/>
      <c r="EW22" s="10"/>
      <c r="EX22" s="4">
        <f>128429-35498</f>
        <v>92931</v>
      </c>
      <c r="EY22" s="4">
        <v>19376</v>
      </c>
      <c r="EZ22" s="4"/>
      <c r="FA22" s="4"/>
      <c r="FB22" s="4"/>
      <c r="FC22" s="4"/>
      <c r="FD22" s="4"/>
      <c r="FE22" s="4"/>
      <c r="FF22" s="4"/>
      <c r="FG22" s="4"/>
      <c r="FH22" s="10">
        <v>18924</v>
      </c>
      <c r="FI22" s="10">
        <v>17490</v>
      </c>
      <c r="FJ22" s="10"/>
      <c r="FK22" s="10"/>
      <c r="FL22" s="10"/>
      <c r="FM22" s="10">
        <v>17730</v>
      </c>
      <c r="FN22" s="4"/>
      <c r="FO22" s="4"/>
      <c r="FP22" s="10">
        <v>16707</v>
      </c>
      <c r="FQ22" s="4"/>
      <c r="FR22" s="4"/>
      <c r="FS22" s="10">
        <v>16449</v>
      </c>
      <c r="FT22" s="4"/>
      <c r="FU22" s="4"/>
      <c r="FV22" s="4"/>
      <c r="FW22" s="4"/>
      <c r="FX22" s="4"/>
      <c r="FY22" s="4"/>
      <c r="FZ22" s="10">
        <v>16605</v>
      </c>
      <c r="GA22" s="10">
        <v>18739</v>
      </c>
      <c r="GB22" s="10"/>
      <c r="GC22" s="10"/>
      <c r="GD22" s="4"/>
      <c r="GE22" s="4"/>
      <c r="GF22" s="4">
        <v>17234</v>
      </c>
      <c r="GG22" s="4"/>
      <c r="GH22" s="4"/>
      <c r="GI22" s="4"/>
      <c r="GJ22" s="4"/>
      <c r="GK22" s="4">
        <v>17789</v>
      </c>
      <c r="GL22" s="4"/>
      <c r="GM22" s="4">
        <v>16320</v>
      </c>
      <c r="GN22" s="10">
        <v>16573</v>
      </c>
      <c r="GO22" s="10">
        <v>18249</v>
      </c>
      <c r="GP22" s="4"/>
      <c r="GQ22" s="10"/>
      <c r="GR22" s="4"/>
      <c r="GS22" s="10"/>
      <c r="GT22" s="4"/>
      <c r="GU22" s="10"/>
      <c r="GV22" s="4"/>
      <c r="GW22" s="10"/>
      <c r="GX22" s="10">
        <v>19444</v>
      </c>
      <c r="GY22" s="10"/>
      <c r="GZ22" s="10"/>
      <c r="HA22" s="18"/>
      <c r="HB22" s="4"/>
      <c r="HC22" s="77">
        <f t="shared" si="22"/>
        <v>5.4737737152574803E-3</v>
      </c>
      <c r="HD22" s="8">
        <f t="shared" si="2"/>
        <v>340560</v>
      </c>
      <c r="HE22" s="2"/>
      <c r="HF22" s="3" t="s">
        <v>295</v>
      </c>
      <c r="HG22" s="4">
        <v>19829</v>
      </c>
      <c r="HH22" s="4"/>
      <c r="HI22" s="4"/>
      <c r="HJ22" s="4"/>
      <c r="HK22" s="4"/>
      <c r="HL22" s="4"/>
      <c r="HM22" s="4"/>
      <c r="HN22" s="4"/>
      <c r="HO22" s="4"/>
      <c r="HP22" s="4"/>
      <c r="HQ22" s="4"/>
      <c r="HR22" s="4"/>
      <c r="HS22" s="4"/>
      <c r="HT22" s="10"/>
      <c r="HU22" s="10"/>
      <c r="HV22" s="4"/>
      <c r="HW22" s="4"/>
      <c r="HX22" s="4"/>
      <c r="HY22" s="4"/>
      <c r="HZ22" s="4"/>
      <c r="IA22" s="4"/>
      <c r="IB22" s="4"/>
      <c r="IC22" s="4"/>
      <c r="ID22" s="10">
        <v>17948</v>
      </c>
      <c r="IE22" s="4"/>
      <c r="IF22" s="10"/>
      <c r="IG22" s="4"/>
      <c r="IH22" s="4"/>
      <c r="II22" s="4"/>
      <c r="IJ22" s="4"/>
      <c r="IK22" s="4"/>
      <c r="IL22" s="4"/>
      <c r="IM22" s="4"/>
      <c r="IN22" s="4"/>
      <c r="IO22" s="4"/>
      <c r="IP22" s="4"/>
      <c r="IQ22" s="4"/>
      <c r="IR22" s="4"/>
      <c r="IS22" s="4"/>
      <c r="IT22" s="10">
        <v>17325</v>
      </c>
      <c r="IU22" s="4"/>
      <c r="IV22" s="4"/>
      <c r="IW22" s="4"/>
      <c r="IX22" s="10">
        <v>18320</v>
      </c>
      <c r="IY22" s="4"/>
      <c r="IZ22" s="4"/>
      <c r="JA22" s="4"/>
      <c r="JB22" s="4"/>
      <c r="JC22" s="4"/>
      <c r="JD22" s="4"/>
      <c r="JE22" s="4"/>
      <c r="JF22" s="10"/>
      <c r="JG22" s="10"/>
      <c r="JH22" s="10"/>
      <c r="JI22" s="4"/>
      <c r="JJ22" s="4"/>
      <c r="JK22" s="4"/>
      <c r="JL22" s="4">
        <v>18996</v>
      </c>
      <c r="JM22" s="4"/>
      <c r="JN22" s="10"/>
      <c r="JO22" s="10">
        <v>15170</v>
      </c>
      <c r="JP22" s="4"/>
      <c r="JQ22" s="4"/>
      <c r="JR22" s="4"/>
      <c r="JS22" s="4"/>
      <c r="JT22" s="4"/>
      <c r="JU22" s="10"/>
      <c r="JV22" s="4"/>
      <c r="JW22" s="4"/>
      <c r="JX22" s="4"/>
      <c r="JY22" s="4"/>
      <c r="JZ22" s="4"/>
      <c r="KA22" s="4"/>
      <c r="KB22" s="4"/>
      <c r="KC22" s="4"/>
      <c r="KD22" s="10">
        <v>15572</v>
      </c>
      <c r="KE22" s="10">
        <v>42910</v>
      </c>
      <c r="KF22" s="10">
        <v>21760</v>
      </c>
      <c r="KG22" s="4"/>
      <c r="KH22" s="10">
        <v>61097</v>
      </c>
      <c r="KI22" s="10"/>
      <c r="KJ22" s="10">
        <v>48607</v>
      </c>
      <c r="KK22" s="10"/>
      <c r="KL22" s="4"/>
      <c r="KM22" s="10">
        <v>14330</v>
      </c>
      <c r="KN22" s="4"/>
      <c r="KO22" s="4"/>
      <c r="KP22" s="4"/>
      <c r="KQ22" s="4"/>
      <c r="KR22" s="10"/>
      <c r="KS22" s="4"/>
      <c r="KT22" s="4"/>
      <c r="KU22" s="4"/>
      <c r="KV22" s="4"/>
      <c r="KW22" s="4"/>
      <c r="KX22" s="18"/>
      <c r="KY22" s="4"/>
      <c r="KZ22" s="77">
        <f>IF($A22="","",(LA22-LA21)/LA21)</f>
        <v>-6.3721866795809646E-3</v>
      </c>
      <c r="LA22" s="8">
        <f t="shared" si="3"/>
        <v>311864</v>
      </c>
      <c r="LB22" s="2"/>
      <c r="LC22" s="43"/>
      <c r="MO22" s="172"/>
      <c r="NO22" s="77"/>
      <c r="NP22" s="63"/>
      <c r="NQ22"/>
      <c r="NR22" s="77" t="e">
        <f>IF($A22="","",(NS22-NS21)/NS21)</f>
        <v>#DIV/0!</v>
      </c>
      <c r="NS22" s="8">
        <f t="shared" si="4"/>
        <v>0</v>
      </c>
      <c r="NT22" s="2"/>
      <c r="NU22" s="3" t="s">
        <v>295</v>
      </c>
      <c r="NV22" s="4">
        <v>6308</v>
      </c>
      <c r="NW22" s="4"/>
      <c r="NX22" s="4">
        <v>26751</v>
      </c>
      <c r="NY22" s="4"/>
      <c r="NZ22" s="4">
        <v>27350</v>
      </c>
      <c r="OA22" s="4"/>
      <c r="OB22" s="4"/>
      <c r="OC22" s="4"/>
      <c r="OD22" s="4"/>
      <c r="OE22" s="77">
        <f>IF($A22="","",(OF22-OF21)/OF21)</f>
        <v>1.2724224643755239E-2</v>
      </c>
      <c r="OF22" s="8">
        <f t="shared" si="5"/>
        <v>60409</v>
      </c>
      <c r="OG22" s="2"/>
      <c r="OJ22" s="40"/>
      <c r="OK22" s="40"/>
      <c r="OL22" s="40"/>
      <c r="OM22" s="40"/>
      <c r="ON22" s="40"/>
      <c r="OO22" s="40"/>
      <c r="OQ22" s="40"/>
      <c r="OR22" s="77"/>
      <c r="OS22" s="35"/>
      <c r="OT22" s="37"/>
      <c r="OU22" s="126">
        <f t="shared" si="6"/>
        <v>703423</v>
      </c>
      <c r="OV22" s="71">
        <f t="shared" si="9"/>
        <v>4.316105082809823E-3</v>
      </c>
      <c r="OW22" s="139">
        <f>IF(A22="","",SUM(Z$17:Z22))</f>
        <v>20000</v>
      </c>
      <c r="OX22" s="139">
        <f t="shared" si="13"/>
        <v>723423</v>
      </c>
      <c r="OY22" s="132">
        <f t="shared" si="14"/>
        <v>1.3781042028394495E-2</v>
      </c>
      <c r="OZ22" s="140">
        <f t="shared" si="7"/>
        <v>652424</v>
      </c>
      <c r="PA22" s="84">
        <f t="shared" si="15"/>
        <v>-2.2373078750172396E-4</v>
      </c>
      <c r="PB22" s="130">
        <f>IF(A22="","",SUM(HB$17:HB22)+SUM(KY$17:KY22))</f>
        <v>3750</v>
      </c>
      <c r="PC22" s="131">
        <f t="shared" si="16"/>
        <v>656174</v>
      </c>
      <c r="PD22" s="132">
        <f t="shared" si="17"/>
        <v>-6.5811685018341585E-3</v>
      </c>
      <c r="PE22" s="133"/>
      <c r="PF22" s="134"/>
      <c r="PG22" s="133"/>
      <c r="PH22" s="134"/>
      <c r="PI22" s="135">
        <f t="shared" si="8"/>
        <v>1355847</v>
      </c>
      <c r="PJ22" s="136">
        <f>IF(PI22="","",(PI22-PI21)/PI21)</f>
        <v>2.1264329586021865E-3</v>
      </c>
      <c r="PK22" s="123"/>
      <c r="PL22" s="137">
        <f t="shared" si="18"/>
        <v>23750</v>
      </c>
      <c r="PM22" s="9">
        <f t="shared" si="19"/>
        <v>1379597</v>
      </c>
      <c r="PN22" s="138">
        <f t="shared" si="20"/>
        <v>3.9931300987548308E-3</v>
      </c>
      <c r="PO22" s="86">
        <f>IF(PI22="","",MAX(PI$15:PI22))</f>
        <v>1382000</v>
      </c>
      <c r="PP22" s="113">
        <f t="shared" si="11"/>
        <v>-1.9289049575652709E-2</v>
      </c>
      <c r="PQ22" s="41"/>
      <c r="PR22" s="302"/>
    </row>
    <row r="23" spans="1:434" s="1" customFormat="1" ht="15" customHeight="1" x14ac:dyDescent="0.45">
      <c r="A23" s="18"/>
      <c r="B23" s="3"/>
      <c r="C23" s="4"/>
      <c r="D23" s="10"/>
      <c r="E23" s="10"/>
      <c r="F23" s="10"/>
      <c r="G23" s="4"/>
      <c r="H23" s="4"/>
      <c r="I23" s="4"/>
      <c r="J23" s="4"/>
      <c r="K23" s="4"/>
      <c r="L23" s="4"/>
      <c r="M23" s="4"/>
      <c r="N23" s="4"/>
      <c r="O23" s="10"/>
      <c r="P23" s="4"/>
      <c r="Q23" s="4"/>
      <c r="R23" s="4"/>
      <c r="S23" s="4"/>
      <c r="T23" s="4"/>
      <c r="U23" s="10"/>
      <c r="V23" s="10"/>
      <c r="W23" s="10"/>
      <c r="X23" s="4"/>
      <c r="Y23" s="18">
        <f t="shared" si="26"/>
        <v>42979</v>
      </c>
      <c r="Z23" s="4"/>
      <c r="AA23" s="77" t="str">
        <f t="shared" si="21"/>
        <v/>
      </c>
      <c r="AB23" s="8" t="str">
        <f t="shared" si="0"/>
        <v/>
      </c>
      <c r="AC23" s="2"/>
      <c r="AD23" s="3"/>
      <c r="AE23" s="4"/>
      <c r="AF23" s="4"/>
      <c r="AG23" s="4"/>
      <c r="AH23" s="4"/>
      <c r="AJ23" s="4"/>
      <c r="AK23" s="4"/>
      <c r="AL23" s="4"/>
      <c r="AM23" s="4"/>
      <c r="AO23" s="4"/>
      <c r="AP23" s="10"/>
      <c r="AQ23" s="4"/>
      <c r="AR23" s="4"/>
      <c r="AS23" s="4"/>
      <c r="AT23" s="4"/>
      <c r="AU23" s="4"/>
      <c r="AW23" s="4"/>
      <c r="AX23" s="4"/>
      <c r="AY23" s="4"/>
      <c r="AZ23" s="4"/>
      <c r="BA23" s="4"/>
      <c r="BB23" s="4"/>
      <c r="BC23" s="4"/>
      <c r="BD23" s="4"/>
      <c r="BE23" s="4"/>
      <c r="BF23" s="4"/>
      <c r="BH23" s="4"/>
      <c r="BI23" s="4"/>
      <c r="BJ23" s="4"/>
      <c r="BK23" s="4"/>
      <c r="BL23" s="4"/>
      <c r="BM23" s="4"/>
      <c r="BN23" s="4"/>
      <c r="BO23" s="4"/>
      <c r="BP23" s="4"/>
      <c r="BQ23" s="4"/>
      <c r="BS23" s="10"/>
      <c r="BT23" s="4"/>
      <c r="BU23" s="4"/>
      <c r="BV23" s="4"/>
      <c r="BW23" s="4"/>
      <c r="CA23" s="4"/>
      <c r="CB23" s="4"/>
      <c r="CC23" s="4"/>
      <c r="CD23" s="4"/>
      <c r="CE23" s="4"/>
      <c r="CF23" s="4"/>
      <c r="CG23" s="4"/>
      <c r="CH23" s="4"/>
      <c r="CI23" s="4"/>
      <c r="CJ23" s="10"/>
      <c r="CK23" s="4"/>
      <c r="CL23" s="10"/>
      <c r="CN23" s="4"/>
      <c r="CO23" s="10"/>
      <c r="CP23" s="4"/>
      <c r="CQ23" s="4"/>
      <c r="CR23" s="10"/>
      <c r="CS23" s="4"/>
      <c r="CT23" s="4"/>
      <c r="CU23" s="4"/>
      <c r="CV23" s="4"/>
      <c r="CW23" s="4"/>
      <c r="CX23" s="4"/>
      <c r="CY23" s="77" t="str">
        <f t="shared" si="12"/>
        <v/>
      </c>
      <c r="CZ23" s="8"/>
      <c r="DA23" s="2"/>
      <c r="DH23" s="4"/>
      <c r="DJ23" s="4"/>
      <c r="DX23" s="2"/>
      <c r="DY23" s="32"/>
      <c r="DZ23" s="4"/>
      <c r="EA23" s="32"/>
      <c r="EB23" s="32"/>
      <c r="EC23" s="32"/>
      <c r="ED23" s="32"/>
      <c r="EE23" s="4"/>
      <c r="EF23" s="4"/>
      <c r="EG23" s="32"/>
      <c r="EH23" s="32"/>
      <c r="EI23" s="32"/>
      <c r="EJ23" s="32"/>
      <c r="EK23" s="5"/>
      <c r="EO23" s="2"/>
      <c r="EQ23" s="468" t="s">
        <v>1</v>
      </c>
      <c r="ER23"/>
      <c r="ES23" s="6"/>
      <c r="ET23" s="10"/>
      <c r="EU23" s="10"/>
      <c r="EV23" s="10"/>
      <c r="EW23" s="10"/>
      <c r="EX23" s="4"/>
      <c r="EY23" s="4"/>
      <c r="EZ23" s="4"/>
      <c r="FA23" s="4"/>
      <c r="FB23" s="4"/>
      <c r="FC23" s="4"/>
      <c r="FD23" s="4"/>
      <c r="FE23" s="4"/>
      <c r="FF23" s="4"/>
      <c r="FG23" s="4"/>
      <c r="FH23" s="10"/>
      <c r="FI23" s="10"/>
      <c r="FJ23" s="10"/>
      <c r="FK23" s="10"/>
      <c r="FL23" s="10"/>
      <c r="FM23" s="10"/>
      <c r="FN23" s="4"/>
      <c r="FO23" s="4"/>
      <c r="FP23" s="10"/>
      <c r="FQ23" s="4"/>
      <c r="FR23" s="4"/>
      <c r="FS23" s="10"/>
      <c r="FT23" s="4"/>
      <c r="FU23" s="4"/>
      <c r="FV23" s="4"/>
      <c r="FW23" s="4"/>
      <c r="FX23" s="4"/>
      <c r="FY23" s="4"/>
      <c r="FZ23" s="10"/>
      <c r="GA23" s="10"/>
      <c r="GB23" s="10"/>
      <c r="GC23" s="10"/>
      <c r="GD23" s="4"/>
      <c r="GE23" s="4"/>
      <c r="GF23" s="4"/>
      <c r="GG23" s="4"/>
      <c r="GH23" s="4"/>
      <c r="GI23" s="4"/>
      <c r="GJ23" s="4"/>
      <c r="GK23" s="4"/>
      <c r="GL23" s="4"/>
      <c r="GM23" s="4"/>
      <c r="GN23" s="10"/>
      <c r="GO23" s="10"/>
      <c r="GP23" s="4"/>
      <c r="GQ23" s="10"/>
      <c r="GR23" s="4"/>
      <c r="GS23" s="10"/>
      <c r="GT23" s="4"/>
      <c r="GU23" s="10"/>
      <c r="GV23" s="4"/>
      <c r="GW23" s="10"/>
      <c r="GX23" s="10"/>
      <c r="GY23" s="10"/>
      <c r="GZ23" s="10"/>
      <c r="HA23" s="18">
        <v>42979</v>
      </c>
      <c r="HB23" s="4">
        <v>3750</v>
      </c>
      <c r="HC23" s="77" t="str">
        <f t="shared" si="22"/>
        <v/>
      </c>
      <c r="HD23" s="8"/>
      <c r="HE23" s="2"/>
      <c r="HF23" s="3"/>
      <c r="HG23" s="4"/>
      <c r="HH23" s="4"/>
      <c r="HI23" s="4"/>
      <c r="HJ23" s="4"/>
      <c r="HK23" s="4"/>
      <c r="HL23" s="4"/>
      <c r="HM23" s="4"/>
      <c r="HN23" s="4"/>
      <c r="HO23" s="4"/>
      <c r="HP23" s="4"/>
      <c r="HQ23" s="4"/>
      <c r="HR23" s="4"/>
      <c r="HS23" s="4"/>
      <c r="HT23" s="10"/>
      <c r="HU23" s="10"/>
      <c r="HV23" s="4"/>
      <c r="HW23" s="4"/>
      <c r="HX23" s="4"/>
      <c r="HY23" s="4"/>
      <c r="HZ23" s="4"/>
      <c r="IA23" s="4"/>
      <c r="IB23" s="4"/>
      <c r="IC23" s="4"/>
      <c r="ID23" s="10"/>
      <c r="IE23" s="4"/>
      <c r="IF23" s="10"/>
      <c r="IG23" s="4"/>
      <c r="IH23" s="4"/>
      <c r="II23" s="4"/>
      <c r="IJ23" s="4"/>
      <c r="IK23" s="4"/>
      <c r="IL23" s="4"/>
      <c r="IM23" s="4"/>
      <c r="IN23" s="4"/>
      <c r="IO23" s="4"/>
      <c r="IP23" s="4"/>
      <c r="IQ23" s="4"/>
      <c r="IR23" s="4"/>
      <c r="IS23" s="4"/>
      <c r="IT23" s="10"/>
      <c r="IU23" s="4"/>
      <c r="IV23" s="4"/>
      <c r="IW23" s="4"/>
      <c r="IX23" s="10"/>
      <c r="IY23" s="4"/>
      <c r="IZ23" s="4"/>
      <c r="JA23" s="4"/>
      <c r="JB23" s="4"/>
      <c r="JC23" s="4"/>
      <c r="JD23" s="4"/>
      <c r="JE23" s="4"/>
      <c r="JF23" s="10"/>
      <c r="JG23" s="10"/>
      <c r="JH23" s="10"/>
      <c r="JI23" s="4"/>
      <c r="JJ23" s="4"/>
      <c r="JK23" s="4"/>
      <c r="JL23" s="4"/>
      <c r="JM23" s="4"/>
      <c r="JN23" s="10"/>
      <c r="JO23" s="10"/>
      <c r="JP23" s="4"/>
      <c r="JQ23" s="4"/>
      <c r="JR23" s="4"/>
      <c r="JS23" s="4"/>
      <c r="JT23" s="4"/>
      <c r="JU23" s="10"/>
      <c r="JV23" s="4"/>
      <c r="JW23" s="4"/>
      <c r="JX23" s="4"/>
      <c r="JY23" s="4"/>
      <c r="JZ23" s="4"/>
      <c r="KA23" s="4"/>
      <c r="KB23" s="4"/>
      <c r="KC23" s="4"/>
      <c r="KD23" s="10"/>
      <c r="KE23" s="10"/>
      <c r="KF23" s="10"/>
      <c r="KG23" s="4"/>
      <c r="KH23" s="10"/>
      <c r="KI23" s="10"/>
      <c r="KJ23" s="10"/>
      <c r="KK23" s="10"/>
      <c r="KL23" s="4"/>
      <c r="KM23" s="10"/>
      <c r="KN23" s="4"/>
      <c r="KO23" s="4"/>
      <c r="KP23" s="4"/>
      <c r="KQ23" s="4"/>
      <c r="KR23" s="10"/>
      <c r="KS23" s="4"/>
      <c r="KT23" s="4"/>
      <c r="KU23" s="4"/>
      <c r="KV23" s="4"/>
      <c r="KW23" s="4"/>
      <c r="KX23" s="18"/>
      <c r="KY23" s="4"/>
      <c r="KZ23" s="77" t="str">
        <f t="shared" si="23"/>
        <v/>
      </c>
      <c r="LA23" s="8"/>
      <c r="LB23" s="2"/>
      <c r="LC23" s="43"/>
      <c r="MO23" s="172"/>
      <c r="NO23" s="77"/>
      <c r="NP23" s="63"/>
      <c r="NQ23"/>
      <c r="NR23" s="77" t="str">
        <f t="shared" si="24"/>
        <v/>
      </c>
      <c r="NS23" s="8" t="str">
        <f t="shared" si="4"/>
        <v/>
      </c>
      <c r="NT23" s="2"/>
      <c r="NU23" s="3"/>
      <c r="NV23" s="4"/>
      <c r="NW23" s="4"/>
      <c r="NX23" s="4"/>
      <c r="NY23" s="4"/>
      <c r="NZ23" s="4"/>
      <c r="OA23" s="4"/>
      <c r="OB23" s="4"/>
      <c r="OC23" s="4"/>
      <c r="OD23" s="4"/>
      <c r="OE23" s="77" t="str">
        <f t="shared" si="25"/>
        <v/>
      </c>
      <c r="OF23" s="8" t="str">
        <f t="shared" si="5"/>
        <v/>
      </c>
      <c r="OG23" s="2"/>
      <c r="OJ23" s="40"/>
      <c r="OK23" s="40"/>
      <c r="OL23" s="40"/>
      <c r="OM23" s="40"/>
      <c r="ON23" s="40"/>
      <c r="OO23" s="40"/>
      <c r="OQ23" s="40"/>
      <c r="OR23" s="77"/>
      <c r="OS23" s="35"/>
      <c r="OT23" s="37"/>
      <c r="OU23" s="126"/>
      <c r="OV23" s="71" t="str">
        <f t="shared" si="9"/>
        <v/>
      </c>
      <c r="OW23" s="139" t="str">
        <f>IF(A23="","",SUM(Z$17:Z23))</f>
        <v/>
      </c>
      <c r="OX23" s="139" t="str">
        <f t="shared" si="13"/>
        <v/>
      </c>
      <c r="OY23" s="132" t="str">
        <f t="shared" si="14"/>
        <v/>
      </c>
      <c r="OZ23" s="140"/>
      <c r="PA23" s="84" t="str">
        <f t="shared" si="15"/>
        <v/>
      </c>
      <c r="PB23" s="130" t="str">
        <f>IF(A23="","",SUM(HB$17:HB23)+SUM(KY$17:KY23))</f>
        <v/>
      </c>
      <c r="PC23" s="131" t="str">
        <f t="shared" si="16"/>
        <v/>
      </c>
      <c r="PD23" s="132" t="str">
        <f t="shared" si="17"/>
        <v/>
      </c>
      <c r="PE23" s="133"/>
      <c r="PF23" s="134"/>
      <c r="PG23" s="133"/>
      <c r="PH23" s="134"/>
      <c r="PI23" s="135" t="str">
        <f t="shared" si="8"/>
        <v/>
      </c>
      <c r="PJ23" s="136" t="str">
        <f t="shared" si="10"/>
        <v/>
      </c>
      <c r="PK23" s="123"/>
      <c r="PL23" s="137" t="str">
        <f t="shared" si="18"/>
        <v/>
      </c>
      <c r="PM23" s="9" t="str">
        <f t="shared" si="19"/>
        <v/>
      </c>
      <c r="PN23" s="138" t="str">
        <f t="shared" si="20"/>
        <v/>
      </c>
      <c r="PO23" s="86" t="str">
        <f>IF(PI23="","",MAX(PI$15:PI23))</f>
        <v/>
      </c>
      <c r="PP23" s="113" t="str">
        <f t="shared" si="11"/>
        <v/>
      </c>
      <c r="PQ23" s="41"/>
      <c r="PR23" s="302"/>
    </row>
    <row r="24" spans="1:434" s="1" customFormat="1" ht="15" customHeight="1" x14ac:dyDescent="0.45">
      <c r="A24" s="18">
        <v>42989</v>
      </c>
      <c r="B24" s="3" t="s">
        <v>295</v>
      </c>
      <c r="C24" s="4">
        <v>41981</v>
      </c>
      <c r="D24" s="10"/>
      <c r="E24" s="10"/>
      <c r="F24" s="10"/>
      <c r="G24" s="4"/>
      <c r="H24" s="4"/>
      <c r="I24" s="4">
        <v>19128</v>
      </c>
      <c r="J24" s="4">
        <v>13683</v>
      </c>
      <c r="K24" s="4"/>
      <c r="L24" s="4"/>
      <c r="M24" s="4"/>
      <c r="N24" s="4"/>
      <c r="O24" s="10"/>
      <c r="P24" s="4"/>
      <c r="Q24" s="4"/>
      <c r="R24" s="4"/>
      <c r="S24" s="4"/>
      <c r="T24" s="4"/>
      <c r="U24" s="10">
        <v>52837</v>
      </c>
      <c r="V24" s="10"/>
      <c r="W24" s="10"/>
      <c r="X24" s="4"/>
      <c r="Y24" s="18" t="str">
        <f t="shared" si="26"/>
        <v/>
      </c>
      <c r="Z24" s="4"/>
      <c r="AA24" s="77" t="e">
        <f t="shared" si="21"/>
        <v>#VALUE!</v>
      </c>
      <c r="AB24" s="8">
        <f t="shared" si="0"/>
        <v>127629</v>
      </c>
      <c r="AC24" s="2"/>
      <c r="AD24" s="3" t="s">
        <v>295</v>
      </c>
      <c r="AE24" s="4">
        <v>1160</v>
      </c>
      <c r="AF24" s="4">
        <v>328594</v>
      </c>
      <c r="AG24" s="4"/>
      <c r="AH24" s="4"/>
      <c r="AJ24" s="4"/>
      <c r="AK24" s="4"/>
      <c r="AL24" s="4"/>
      <c r="AM24" s="4"/>
      <c r="AO24" s="4"/>
      <c r="AP24" s="10"/>
      <c r="AQ24" s="4"/>
      <c r="AR24" s="4"/>
      <c r="AS24" s="4"/>
      <c r="AT24" s="4"/>
      <c r="AU24" s="4"/>
      <c r="AW24" s="4"/>
      <c r="AX24" s="4"/>
      <c r="AY24" s="4"/>
      <c r="AZ24" s="4"/>
      <c r="BA24" s="4"/>
      <c r="BB24" s="4"/>
      <c r="BC24" s="4"/>
      <c r="BD24" s="4"/>
      <c r="BE24" s="4"/>
      <c r="BF24" s="4"/>
      <c r="BH24" s="4">
        <v>20206</v>
      </c>
      <c r="BI24" s="4"/>
      <c r="BJ24" s="4"/>
      <c r="BK24" s="4"/>
      <c r="BL24" s="4"/>
      <c r="BM24" s="184">
        <v>17341</v>
      </c>
      <c r="BN24" s="4">
        <v>17380</v>
      </c>
      <c r="BO24" s="4"/>
      <c r="BP24" s="4"/>
      <c r="BQ24" s="4"/>
      <c r="BS24" s="10"/>
      <c r="BT24" s="4"/>
      <c r="BU24" s="4"/>
      <c r="BV24" s="4"/>
      <c r="BW24" s="4"/>
      <c r="CA24" s="4">
        <v>93829</v>
      </c>
      <c r="CB24" s="4"/>
      <c r="CC24" s="4">
        <v>106428</v>
      </c>
      <c r="CD24" s="4"/>
      <c r="CE24" s="4"/>
      <c r="CF24" s="4"/>
      <c r="CG24" s="4"/>
      <c r="CH24" s="4"/>
      <c r="CI24" s="4"/>
      <c r="CJ24" s="10"/>
      <c r="CK24" s="4"/>
      <c r="CL24" s="10"/>
      <c r="CN24" s="4"/>
      <c r="CO24" s="10"/>
      <c r="CP24" s="4"/>
      <c r="CQ24" s="4">
        <v>17132</v>
      </c>
      <c r="CR24" s="10"/>
      <c r="CS24" s="4"/>
      <c r="CT24" s="4"/>
      <c r="CU24" s="4"/>
      <c r="CV24" s="4"/>
      <c r="CW24" s="4"/>
      <c r="CX24" s="4"/>
      <c r="CY24" s="77" t="e">
        <f t="shared" si="12"/>
        <v>#DIV/0!</v>
      </c>
      <c r="CZ24" s="8">
        <f>IF(A24="","",SUM(AE24:CX24))</f>
        <v>602070</v>
      </c>
      <c r="DA24" s="2"/>
      <c r="DH24" s="4"/>
      <c r="DJ24" s="4"/>
      <c r="DX24" s="2"/>
      <c r="DY24" s="32"/>
      <c r="DZ24" s="4">
        <v>6312</v>
      </c>
      <c r="EA24" s="32"/>
      <c r="EB24" s="32"/>
      <c r="EC24" s="32"/>
      <c r="ED24" s="32"/>
      <c r="EE24" s="4"/>
      <c r="EF24" s="4"/>
      <c r="EG24" s="32"/>
      <c r="EH24" s="32"/>
      <c r="EI24" s="32"/>
      <c r="EJ24" s="32"/>
      <c r="EK24" s="5"/>
      <c r="EO24" s="2"/>
      <c r="EQ24" s="468" t="s">
        <v>1</v>
      </c>
      <c r="ER24"/>
      <c r="ES24" s="6" t="s">
        <v>303</v>
      </c>
      <c r="ET24" s="10"/>
      <c r="EU24" s="10"/>
      <c r="EV24" s="10"/>
      <c r="EW24" s="10"/>
      <c r="EX24" s="4">
        <f>89303-68638</f>
        <v>20665</v>
      </c>
      <c r="EY24" s="4">
        <v>19420</v>
      </c>
      <c r="EZ24" s="4"/>
      <c r="FA24" s="4">
        <v>18014</v>
      </c>
      <c r="FB24" s="4"/>
      <c r="FC24" s="4"/>
      <c r="FD24" s="4"/>
      <c r="FE24" s="4"/>
      <c r="FF24" s="4"/>
      <c r="FG24" s="4"/>
      <c r="FH24" s="10">
        <v>19200</v>
      </c>
      <c r="FI24" s="10">
        <v>18055</v>
      </c>
      <c r="FJ24" s="10"/>
      <c r="FK24" s="10"/>
      <c r="FL24" s="10"/>
      <c r="FM24" s="10">
        <v>17403</v>
      </c>
      <c r="FN24" s="4"/>
      <c r="FO24" s="4"/>
      <c r="FP24" s="10">
        <v>16922</v>
      </c>
      <c r="FQ24" s="4"/>
      <c r="FR24" s="4"/>
      <c r="FS24" s="10">
        <v>16838</v>
      </c>
      <c r="FT24" s="4">
        <v>19128</v>
      </c>
      <c r="FU24" s="4">
        <v>13683</v>
      </c>
      <c r="FV24" s="4"/>
      <c r="FW24" s="4"/>
      <c r="FX24" s="4"/>
      <c r="FY24" s="4"/>
      <c r="FZ24" s="10">
        <v>17372</v>
      </c>
      <c r="GA24" s="10">
        <v>19617</v>
      </c>
      <c r="GB24" s="10"/>
      <c r="GC24" s="10"/>
      <c r="GD24" s="4"/>
      <c r="GE24" s="4"/>
      <c r="GF24" s="4">
        <v>18335</v>
      </c>
      <c r="GG24" s="4"/>
      <c r="GH24" s="4"/>
      <c r="GI24" s="4"/>
      <c r="GJ24" s="4"/>
      <c r="GK24" s="4">
        <v>17856</v>
      </c>
      <c r="GL24" s="4"/>
      <c r="GM24" s="4">
        <v>16143</v>
      </c>
      <c r="GN24" s="10">
        <v>17240</v>
      </c>
      <c r="GO24" s="10">
        <v>18592</v>
      </c>
      <c r="GP24" s="4"/>
      <c r="GQ24" s="10"/>
      <c r="GR24" s="4">
        <v>18781</v>
      </c>
      <c r="GS24" s="10"/>
      <c r="GT24" s="4"/>
      <c r="GU24" s="10"/>
      <c r="GV24" s="4"/>
      <c r="GW24" s="10"/>
      <c r="GX24" s="10">
        <v>18460</v>
      </c>
      <c r="GY24" s="10"/>
      <c r="GZ24" s="10"/>
      <c r="HA24" s="18"/>
      <c r="HB24" s="4"/>
      <c r="HC24" s="77" t="e">
        <f t="shared" si="22"/>
        <v>#DIV/0!</v>
      </c>
      <c r="HD24" s="8">
        <f>IF(A24="","",SUM(ET24:GZ24))</f>
        <v>341724</v>
      </c>
      <c r="HE24" s="2"/>
      <c r="HF24" s="3" t="s">
        <v>304</v>
      </c>
      <c r="HG24" s="4">
        <f>3130.66+23092</f>
        <v>26222.66</v>
      </c>
      <c r="HH24" s="4"/>
      <c r="HI24" s="4"/>
      <c r="HJ24" s="4"/>
      <c r="HK24" s="4"/>
      <c r="HL24" s="4"/>
      <c r="HM24" s="4"/>
      <c r="HN24" s="4"/>
      <c r="HO24" s="4"/>
      <c r="HP24" s="4"/>
      <c r="HQ24" s="4"/>
      <c r="HR24" s="4"/>
      <c r="HS24" s="4"/>
      <c r="HT24" s="10"/>
      <c r="HU24" s="10"/>
      <c r="HV24" s="4"/>
      <c r="HW24" s="4"/>
      <c r="HX24" s="4"/>
      <c r="HY24" s="4"/>
      <c r="HZ24" s="4"/>
      <c r="IA24" s="4"/>
      <c r="IB24" s="4"/>
      <c r="IC24" s="4"/>
      <c r="ID24" s="10">
        <v>17060</v>
      </c>
      <c r="IE24" s="4"/>
      <c r="IF24" s="10"/>
      <c r="IG24" s="4"/>
      <c r="IH24" s="4"/>
      <c r="II24" s="4"/>
      <c r="IJ24" s="4"/>
      <c r="IK24" s="4"/>
      <c r="IL24" s="4"/>
      <c r="IM24" s="4"/>
      <c r="IN24" s="4"/>
      <c r="IO24" s="4"/>
      <c r="IP24" s="4"/>
      <c r="IQ24" s="4"/>
      <c r="IR24" s="184">
        <v>17341</v>
      </c>
      <c r="IS24" s="4">
        <v>17380</v>
      </c>
      <c r="IT24" s="10">
        <v>17915</v>
      </c>
      <c r="IU24" s="4">
        <v>20018</v>
      </c>
      <c r="IV24" s="4"/>
      <c r="IW24" s="4"/>
      <c r="IX24" s="10">
        <v>17910</v>
      </c>
      <c r="IY24" s="4"/>
      <c r="IZ24" s="4"/>
      <c r="JA24" s="4"/>
      <c r="JB24" s="4"/>
      <c r="JC24" s="4"/>
      <c r="JD24" s="4"/>
      <c r="JE24" s="4"/>
      <c r="JF24" s="10"/>
      <c r="JG24" s="10"/>
      <c r="JH24" s="10"/>
      <c r="JI24" s="4"/>
      <c r="JJ24" s="4"/>
      <c r="JK24" s="4"/>
      <c r="JL24" s="4">
        <v>19512</v>
      </c>
      <c r="JM24" s="4"/>
      <c r="JN24" s="10"/>
      <c r="JO24" s="10">
        <v>15920</v>
      </c>
      <c r="JP24" s="4"/>
      <c r="JQ24" s="4"/>
      <c r="JR24" s="4"/>
      <c r="JS24" s="4"/>
      <c r="JT24" s="4"/>
      <c r="JU24" s="10"/>
      <c r="JV24" s="4"/>
      <c r="JW24" s="4"/>
      <c r="JX24" s="4"/>
      <c r="JY24" s="4"/>
      <c r="JZ24" s="4"/>
      <c r="KA24" s="4"/>
      <c r="KB24" s="4"/>
      <c r="KC24" s="4"/>
      <c r="KD24" s="10">
        <v>15922</v>
      </c>
      <c r="KE24" s="10">
        <v>22327</v>
      </c>
      <c r="KF24" s="10">
        <v>22450</v>
      </c>
      <c r="KG24" s="4"/>
      <c r="KH24" s="10">
        <v>32932</v>
      </c>
      <c r="KI24" s="10"/>
      <c r="KJ24" s="10">
        <v>23712</v>
      </c>
      <c r="KK24" s="10"/>
      <c r="KL24" s="4">
        <v>17132</v>
      </c>
      <c r="KM24" s="10">
        <v>14449</v>
      </c>
      <c r="KN24" s="4"/>
      <c r="KO24" s="4"/>
      <c r="KP24" s="4"/>
      <c r="KQ24" s="4"/>
      <c r="KR24" s="10"/>
      <c r="KS24" s="4"/>
      <c r="KT24" s="4"/>
      <c r="KU24" s="4"/>
      <c r="KV24" s="4"/>
      <c r="KW24" s="4"/>
      <c r="KX24" s="18"/>
      <c r="KY24" s="4"/>
      <c r="KZ24" s="77" t="e">
        <f t="shared" si="23"/>
        <v>#DIV/0!</v>
      </c>
      <c r="LA24" s="8">
        <f>IF(A24="","",SUM(HG24:KW24))</f>
        <v>318202.66000000003</v>
      </c>
      <c r="LB24" s="2"/>
      <c r="LC24" s="43"/>
      <c r="MO24" s="172"/>
      <c r="NO24" s="77"/>
      <c r="NP24" s="63"/>
      <c r="NQ24"/>
      <c r="NR24" s="77" t="e">
        <f t="shared" si="24"/>
        <v>#VALUE!</v>
      </c>
      <c r="NS24" s="8">
        <f t="shared" si="4"/>
        <v>0</v>
      </c>
      <c r="NT24" s="2"/>
      <c r="NU24" s="3" t="s">
        <v>295</v>
      </c>
      <c r="NV24" s="4">
        <v>6312</v>
      </c>
      <c r="NW24" s="4"/>
      <c r="NX24" s="4">
        <v>27318</v>
      </c>
      <c r="NY24" s="4"/>
      <c r="NZ24" s="4">
        <v>27554</v>
      </c>
      <c r="OA24" s="4"/>
      <c r="OB24" s="4"/>
      <c r="OC24" s="4"/>
      <c r="OD24" s="4"/>
      <c r="OE24" s="77" t="e">
        <f t="shared" si="25"/>
        <v>#VALUE!</v>
      </c>
      <c r="OF24" s="8">
        <f t="shared" si="5"/>
        <v>61184</v>
      </c>
      <c r="OG24" s="2"/>
      <c r="OJ24" s="40"/>
      <c r="OK24" s="40"/>
      <c r="OL24" s="40"/>
      <c r="OM24" s="40"/>
      <c r="ON24" s="40"/>
      <c r="OO24" s="40"/>
      <c r="OQ24" s="40"/>
      <c r="OR24" s="77"/>
      <c r="OS24" s="35"/>
      <c r="OT24" s="37"/>
      <c r="OU24" s="126">
        <f>IF(A24="","",AB24+CZ24+OF24)</f>
        <v>790883</v>
      </c>
      <c r="OV24" s="71" t="e">
        <f t="shared" si="9"/>
        <v>#DIV/0!</v>
      </c>
      <c r="OW24" s="139">
        <f>IF(A24="","",SUM(Z$17:Z24))</f>
        <v>20000</v>
      </c>
      <c r="OX24" s="139">
        <f t="shared" si="13"/>
        <v>810883</v>
      </c>
      <c r="OY24" s="132">
        <f t="shared" si="14"/>
        <v>0.13634459051358697</v>
      </c>
      <c r="OZ24" s="140">
        <f>IF(A24="","",HD24+LA24)</f>
        <v>659926.66</v>
      </c>
      <c r="PA24" s="84" t="e">
        <f t="shared" si="15"/>
        <v>#DIV/0!</v>
      </c>
      <c r="PB24" s="130">
        <f>IF(A24="","",SUM(HB$17:HB24)+SUM(KY$17:KY24))</f>
        <v>7500</v>
      </c>
      <c r="PC24" s="131">
        <f t="shared" si="16"/>
        <v>667426.66</v>
      </c>
      <c r="PD24" s="132">
        <f t="shared" si="17"/>
        <v>1.0454868202525025E-2</v>
      </c>
      <c r="PE24" s="133"/>
      <c r="PF24" s="134"/>
      <c r="PG24" s="133"/>
      <c r="PH24" s="134"/>
      <c r="PI24" s="135">
        <f t="shared" si="8"/>
        <v>1450809.6600000001</v>
      </c>
      <c r="PJ24" s="136" t="e">
        <f t="shared" si="10"/>
        <v>#VALUE!</v>
      </c>
      <c r="PK24" s="123"/>
      <c r="PL24" s="137">
        <f t="shared" si="18"/>
        <v>27500</v>
      </c>
      <c r="PM24" s="9">
        <f t="shared" si="19"/>
        <v>1478309.6600000001</v>
      </c>
      <c r="PN24" s="138">
        <f t="shared" si="20"/>
        <v>7.583065402333157E-2</v>
      </c>
      <c r="PO24" s="86">
        <f>IF(PI24="","",MAX(PI$15:PI24))</f>
        <v>1450809.6600000001</v>
      </c>
      <c r="PP24" s="113">
        <f t="shared" si="11"/>
        <v>0</v>
      </c>
      <c r="PQ24" s="41"/>
      <c r="PR24" s="302"/>
    </row>
    <row r="25" spans="1:434" s="1" customFormat="1" ht="15" customHeight="1" x14ac:dyDescent="0.45">
      <c r="A25" s="18">
        <v>43012</v>
      </c>
      <c r="B25" s="3" t="s">
        <v>295</v>
      </c>
      <c r="C25" s="4">
        <v>42128.23</v>
      </c>
      <c r="D25" s="10"/>
      <c r="E25" s="10"/>
      <c r="F25" s="10"/>
      <c r="G25" s="4"/>
      <c r="H25" s="4"/>
      <c r="I25" s="4">
        <v>19266</v>
      </c>
      <c r="J25" s="4">
        <v>13718</v>
      </c>
      <c r="K25" s="4"/>
      <c r="L25" s="4"/>
      <c r="M25" s="4"/>
      <c r="N25" s="4"/>
      <c r="O25" s="10"/>
      <c r="P25" s="4"/>
      <c r="Q25" s="4"/>
      <c r="R25" s="4"/>
      <c r="S25" s="4"/>
      <c r="T25" s="4"/>
      <c r="U25" s="10">
        <v>52473.85</v>
      </c>
      <c r="V25" s="10"/>
      <c r="W25" s="10"/>
      <c r="X25" s="4"/>
      <c r="Y25" s="18">
        <f t="shared" si="26"/>
        <v>43009</v>
      </c>
      <c r="Z25" s="4"/>
      <c r="AA25" s="77">
        <f t="shared" si="21"/>
        <v>-3.3628720745272395E-4</v>
      </c>
      <c r="AB25" s="8">
        <f t="shared" si="0"/>
        <v>127586.08000000002</v>
      </c>
      <c r="AC25" s="2"/>
      <c r="AD25" s="3" t="s">
        <v>305</v>
      </c>
      <c r="AE25" s="4">
        <f>62363.06-52000</f>
        <v>10363.059999999998</v>
      </c>
      <c r="AF25" s="4">
        <f>274967.8+52000</f>
        <v>326967.8</v>
      </c>
      <c r="AG25" s="4"/>
      <c r="AH25" s="4"/>
      <c r="AJ25" s="4"/>
      <c r="AK25" s="4"/>
      <c r="AL25" s="4"/>
      <c r="AM25" s="4"/>
      <c r="AO25" s="4"/>
      <c r="AP25" s="10"/>
      <c r="AQ25" s="4"/>
      <c r="AR25" s="4"/>
      <c r="AS25" s="4"/>
      <c r="AT25" s="4"/>
      <c r="AU25" s="4"/>
      <c r="AW25" s="4"/>
      <c r="AX25" s="4">
        <v>11999.99</v>
      </c>
      <c r="AY25" s="4"/>
      <c r="AZ25" s="4"/>
      <c r="BA25" s="4">
        <v>24000</v>
      </c>
      <c r="BB25" s="4"/>
      <c r="BC25" s="4"/>
      <c r="BD25" s="4"/>
      <c r="BE25" s="4"/>
      <c r="BF25" s="4"/>
      <c r="BH25" s="4">
        <v>36118.81</v>
      </c>
      <c r="BI25" s="4"/>
      <c r="BJ25" s="4"/>
      <c r="BK25" s="4"/>
      <c r="BL25" s="4"/>
      <c r="BM25" s="4">
        <v>18096</v>
      </c>
      <c r="BN25" s="4">
        <v>18830</v>
      </c>
      <c r="BO25" s="4"/>
      <c r="BP25" s="4"/>
      <c r="BQ25" s="4"/>
      <c r="BS25" s="10"/>
      <c r="BT25" s="4"/>
      <c r="BU25" s="4"/>
      <c r="BV25" s="4"/>
      <c r="BW25" s="4"/>
      <c r="CA25" s="4">
        <v>94221.26</v>
      </c>
      <c r="CB25" s="4"/>
      <c r="CC25" s="4">
        <v>46642.18</v>
      </c>
      <c r="CD25" s="4"/>
      <c r="CE25" s="4"/>
      <c r="CF25" s="4"/>
      <c r="CG25" s="4"/>
      <c r="CH25" s="4"/>
      <c r="CI25" s="4"/>
      <c r="CJ25" s="10"/>
      <c r="CK25" s="4"/>
      <c r="CL25" s="10"/>
      <c r="CN25" s="4"/>
      <c r="CO25" s="10"/>
      <c r="CP25" s="4"/>
      <c r="CQ25" s="4">
        <v>16566</v>
      </c>
      <c r="CR25" s="10"/>
      <c r="CS25" s="4"/>
      <c r="CT25" s="4"/>
      <c r="CU25" s="4">
        <v>19647</v>
      </c>
      <c r="CV25" s="4"/>
      <c r="CW25" s="4"/>
      <c r="CX25" s="4"/>
      <c r="CY25" s="77">
        <f t="shared" si="12"/>
        <v>3.5514308967395776E-2</v>
      </c>
      <c r="CZ25" s="8">
        <f>IF(A25="","",SUM(AE25:CX25))</f>
        <v>623452.1</v>
      </c>
      <c r="DA25" s="2"/>
      <c r="DH25" s="4"/>
      <c r="DJ25" s="4"/>
      <c r="DX25" s="2"/>
      <c r="DY25" s="32"/>
      <c r="DZ25" s="4">
        <v>6316</v>
      </c>
      <c r="EA25" s="32"/>
      <c r="EB25" s="32"/>
      <c r="EC25" s="32"/>
      <c r="ED25" s="32"/>
      <c r="EE25" s="4"/>
      <c r="EF25" s="4"/>
      <c r="EG25" s="32"/>
      <c r="EH25" s="32"/>
      <c r="EI25" s="32"/>
      <c r="EJ25" s="32"/>
      <c r="EK25" s="5"/>
      <c r="EO25" s="2"/>
      <c r="EQ25" s="468" t="s">
        <v>1</v>
      </c>
      <c r="ER25"/>
      <c r="ES25" s="6" t="s">
        <v>306</v>
      </c>
      <c r="ET25" s="10"/>
      <c r="EU25" s="10"/>
      <c r="EV25" s="10"/>
      <c r="EW25" s="10"/>
      <c r="EX25" s="4">
        <v>17158</v>
      </c>
      <c r="EY25" s="4">
        <v>18331</v>
      </c>
      <c r="EZ25" s="4"/>
      <c r="FA25" s="4">
        <v>17933</v>
      </c>
      <c r="FB25" s="4"/>
      <c r="FC25" s="4"/>
      <c r="FD25" s="4"/>
      <c r="FE25" s="4"/>
      <c r="FF25" s="4"/>
      <c r="FG25" s="4"/>
      <c r="FH25" s="10">
        <v>20022</v>
      </c>
      <c r="FI25" s="10">
        <v>18138</v>
      </c>
      <c r="FJ25" s="10"/>
      <c r="FK25" s="10"/>
      <c r="FL25" s="10"/>
      <c r="FM25" s="10">
        <v>19656</v>
      </c>
      <c r="FN25" s="4"/>
      <c r="FO25" s="4"/>
      <c r="FP25" s="10">
        <v>17782</v>
      </c>
      <c r="FQ25" s="4"/>
      <c r="FR25" s="4"/>
      <c r="FS25" s="10">
        <v>17211</v>
      </c>
      <c r="FT25" s="4">
        <v>19266</v>
      </c>
      <c r="FU25" s="4">
        <v>13718</v>
      </c>
      <c r="FV25" s="4"/>
      <c r="FW25" s="4"/>
      <c r="FX25" s="4"/>
      <c r="FY25" s="4"/>
      <c r="FZ25" s="10">
        <v>18243</v>
      </c>
      <c r="GA25" s="10">
        <v>19838</v>
      </c>
      <c r="GB25" s="10"/>
      <c r="GC25" s="10"/>
      <c r="GD25" s="4"/>
      <c r="GE25" s="4"/>
      <c r="GF25" s="4">
        <v>17087</v>
      </c>
      <c r="GG25" s="4"/>
      <c r="GH25" s="4"/>
      <c r="GI25" s="4"/>
      <c r="GJ25" s="4"/>
      <c r="GK25" s="4">
        <v>16871</v>
      </c>
      <c r="GL25" s="4"/>
      <c r="GM25" s="4">
        <v>16200</v>
      </c>
      <c r="GN25" s="10">
        <v>17720</v>
      </c>
      <c r="GO25" s="10">
        <v>18890</v>
      </c>
      <c r="GP25" s="4"/>
      <c r="GQ25" s="10"/>
      <c r="GR25" s="4">
        <v>19887</v>
      </c>
      <c r="GS25" s="10"/>
      <c r="GT25" s="4"/>
      <c r="GU25" s="10"/>
      <c r="GV25" s="4"/>
      <c r="GW25" s="10"/>
      <c r="GX25" s="10">
        <v>19944</v>
      </c>
      <c r="GY25" s="10"/>
      <c r="GZ25" s="10"/>
      <c r="HA25" s="18">
        <v>43009</v>
      </c>
      <c r="HB25" s="4">
        <v>3750</v>
      </c>
      <c r="HC25" s="77">
        <f t="shared" si="22"/>
        <v>6.3530802636045467E-3</v>
      </c>
      <c r="HD25" s="8">
        <f>IF(A25="","",SUM(ET25:GZ25))</f>
        <v>343895</v>
      </c>
      <c r="HE25" s="2"/>
      <c r="HF25" s="3" t="s">
        <v>307</v>
      </c>
      <c r="HG25" s="4">
        <f>7958.14-794.27</f>
        <v>7163.8700000000008</v>
      </c>
      <c r="HH25" s="4"/>
      <c r="HI25" s="4"/>
      <c r="HJ25" s="4"/>
      <c r="HK25" s="4"/>
      <c r="HL25" s="4"/>
      <c r="HM25" s="4"/>
      <c r="HN25" s="4"/>
      <c r="HO25" s="4"/>
      <c r="HP25" s="4">
        <v>18812</v>
      </c>
      <c r="HQ25" s="4"/>
      <c r="HR25" s="4"/>
      <c r="HS25" s="4"/>
      <c r="HT25" s="10"/>
      <c r="HU25" s="10"/>
      <c r="HV25" s="4"/>
      <c r="HW25" s="4"/>
      <c r="HX25" s="4"/>
      <c r="HY25" s="4"/>
      <c r="HZ25" s="4"/>
      <c r="IA25" s="4"/>
      <c r="IB25" s="4"/>
      <c r="IC25" s="4">
        <v>16275</v>
      </c>
      <c r="ID25" s="10">
        <v>17588</v>
      </c>
      <c r="IE25" s="4"/>
      <c r="IF25" s="10"/>
      <c r="IG25" s="4"/>
      <c r="IH25" s="4"/>
      <c r="II25" s="4"/>
      <c r="IJ25" s="4"/>
      <c r="IK25" s="4"/>
      <c r="IL25" s="4"/>
      <c r="IM25" s="4"/>
      <c r="IN25" s="4"/>
      <c r="IO25" s="4"/>
      <c r="IP25" s="4"/>
      <c r="IQ25" s="4"/>
      <c r="IR25" s="4">
        <v>18096</v>
      </c>
      <c r="IS25" s="4">
        <v>18830</v>
      </c>
      <c r="IT25" s="10">
        <v>19455</v>
      </c>
      <c r="IU25" s="4">
        <v>20364</v>
      </c>
      <c r="IV25" s="4"/>
      <c r="IW25" s="4"/>
      <c r="IX25" s="10">
        <v>19398</v>
      </c>
      <c r="IY25" s="4"/>
      <c r="IZ25" s="4"/>
      <c r="JA25" s="4"/>
      <c r="JB25" s="4"/>
      <c r="JC25" s="4"/>
      <c r="JD25" s="4"/>
      <c r="JE25" s="4"/>
      <c r="JF25" s="10"/>
      <c r="JG25" s="10"/>
      <c r="JH25" s="10"/>
      <c r="JI25" s="4"/>
      <c r="JJ25" s="4"/>
      <c r="JK25" s="4"/>
      <c r="JL25" s="4">
        <v>19356</v>
      </c>
      <c r="JM25" s="4"/>
      <c r="JN25" s="10"/>
      <c r="JO25" s="10">
        <v>17600</v>
      </c>
      <c r="JP25" s="4"/>
      <c r="JQ25" s="4"/>
      <c r="JR25" s="4"/>
      <c r="JS25" s="4"/>
      <c r="JT25" s="4"/>
      <c r="JU25" s="10"/>
      <c r="JV25" s="4"/>
      <c r="JW25" s="4"/>
      <c r="JX25" s="4"/>
      <c r="JY25" s="4"/>
      <c r="JZ25" s="4"/>
      <c r="KA25" s="4"/>
      <c r="KB25" s="4"/>
      <c r="KC25" s="4"/>
      <c r="KD25" s="10">
        <v>16624</v>
      </c>
      <c r="KE25" s="10">
        <v>21884</v>
      </c>
      <c r="KF25" s="10">
        <v>14077</v>
      </c>
      <c r="KG25" s="4"/>
      <c r="KH25" s="10">
        <v>14605</v>
      </c>
      <c r="KI25" s="10"/>
      <c r="KJ25" s="10">
        <v>16805</v>
      </c>
      <c r="KK25" s="10"/>
      <c r="KL25" s="4">
        <v>16566</v>
      </c>
      <c r="KM25" s="10">
        <v>13830</v>
      </c>
      <c r="KN25" s="4"/>
      <c r="KO25" s="4"/>
      <c r="KP25" s="4">
        <v>19647</v>
      </c>
      <c r="KQ25" s="4"/>
      <c r="KR25" s="10"/>
      <c r="KS25" s="4"/>
      <c r="KT25" s="4"/>
      <c r="KU25" s="4"/>
      <c r="KV25" s="4"/>
      <c r="KW25" s="4"/>
      <c r="KX25" s="18"/>
      <c r="KY25" s="4"/>
      <c r="KZ25" s="77">
        <f t="shared" si="23"/>
        <v>2.7571139725858864E-2</v>
      </c>
      <c r="LA25" s="8">
        <f>IF(A25="","",SUM(HG25:KW25))</f>
        <v>326975.87</v>
      </c>
      <c r="LB25" s="2"/>
      <c r="LC25" s="43"/>
      <c r="MO25" s="172"/>
      <c r="NO25" s="77"/>
      <c r="NP25" s="63"/>
      <c r="NQ25"/>
      <c r="NR25" s="77" t="e">
        <f t="shared" si="24"/>
        <v>#DIV/0!</v>
      </c>
      <c r="NS25" s="8">
        <f t="shared" si="4"/>
        <v>0</v>
      </c>
      <c r="NT25" s="2"/>
      <c r="NU25" s="3" t="s">
        <v>295</v>
      </c>
      <c r="NV25" s="4">
        <v>6316</v>
      </c>
      <c r="NW25" s="4"/>
      <c r="NX25" s="4">
        <v>27680</v>
      </c>
      <c r="NY25" s="4"/>
      <c r="NZ25" s="4">
        <v>27778</v>
      </c>
      <c r="OA25" s="4"/>
      <c r="OB25" s="4"/>
      <c r="OC25" s="4"/>
      <c r="OD25" s="4"/>
      <c r="OE25" s="77">
        <f t="shared" si="25"/>
        <v>9.6430439330543929E-3</v>
      </c>
      <c r="OF25" s="8">
        <f t="shared" si="5"/>
        <v>61774</v>
      </c>
      <c r="OG25" s="2"/>
      <c r="OJ25" s="40"/>
      <c r="OK25" s="40"/>
      <c r="OL25" s="40"/>
      <c r="OM25" s="40"/>
      <c r="ON25" s="40"/>
      <c r="OO25" s="40"/>
      <c r="OQ25" s="40"/>
      <c r="OR25" s="77"/>
      <c r="OS25" s="35"/>
      <c r="OT25" s="37"/>
      <c r="OU25" s="126">
        <f>IF(A25="","",AB25+CZ25+OF25)</f>
        <v>812812.17999999993</v>
      </c>
      <c r="OV25" s="71">
        <f t="shared" si="9"/>
        <v>2.7727464112896515E-2</v>
      </c>
      <c r="OW25" s="139">
        <f>IF(A25="","",SUM(Z$17:Z25))</f>
        <v>20000</v>
      </c>
      <c r="OX25" s="139">
        <f t="shared" si="13"/>
        <v>832812.17999999993</v>
      </c>
      <c r="OY25" s="132">
        <f t="shared" si="14"/>
        <v>0.16707541736209489</v>
      </c>
      <c r="OZ25" s="140">
        <f>IF(A25="","",HD25+LA25)</f>
        <v>670870.87</v>
      </c>
      <c r="PA25" s="84">
        <f t="shared" si="15"/>
        <v>1.6583979195506304E-2</v>
      </c>
      <c r="PB25" s="130">
        <f>IF(A25="","",SUM(HB$17:HB25)+SUM(KY$17:KY25))</f>
        <v>11250</v>
      </c>
      <c r="PC25" s="131">
        <f t="shared" si="16"/>
        <v>682120.87</v>
      </c>
      <c r="PD25" s="132">
        <f t="shared" si="17"/>
        <v>3.2701261579874061E-2</v>
      </c>
      <c r="PE25" s="133"/>
      <c r="PF25" s="134"/>
      <c r="PG25" s="133"/>
      <c r="PH25" s="134"/>
      <c r="PI25" s="135">
        <f t="shared" si="8"/>
        <v>1483683.0499999998</v>
      </c>
      <c r="PJ25" s="136">
        <f t="shared" si="10"/>
        <v>2.2658651169995422E-2</v>
      </c>
      <c r="PK25" s="123"/>
      <c r="PL25" s="137">
        <f t="shared" si="18"/>
        <v>31250</v>
      </c>
      <c r="PM25" s="9">
        <f t="shared" si="19"/>
        <v>1514933.0499999998</v>
      </c>
      <c r="PN25" s="138">
        <f t="shared" si="20"/>
        <v>0.10248309815080293</v>
      </c>
      <c r="PO25" s="86">
        <f>IF(PI25="","",MAX(PI$15:PI25))</f>
        <v>1483683.0499999998</v>
      </c>
      <c r="PP25" s="113">
        <f t="shared" si="11"/>
        <v>0</v>
      </c>
      <c r="PQ25" s="41"/>
      <c r="PR25" s="302"/>
    </row>
    <row r="26" spans="1:434" s="1" customFormat="1" ht="15" customHeight="1" x14ac:dyDescent="0.45">
      <c r="A26" s="18">
        <v>43040</v>
      </c>
      <c r="B26" s="3" t="s">
        <v>295</v>
      </c>
      <c r="C26" s="4">
        <v>42301</v>
      </c>
      <c r="D26" s="10"/>
      <c r="E26" s="10"/>
      <c r="F26" s="10"/>
      <c r="G26" s="4"/>
      <c r="H26" s="4"/>
      <c r="I26" s="4">
        <v>19629</v>
      </c>
      <c r="J26" s="4">
        <v>14045</v>
      </c>
      <c r="K26" s="4"/>
      <c r="L26" s="4"/>
      <c r="M26" s="4"/>
      <c r="N26" s="4"/>
      <c r="O26" s="10"/>
      <c r="P26" s="4"/>
      <c r="Q26" s="4"/>
      <c r="R26" s="4"/>
      <c r="S26" s="4"/>
      <c r="T26" s="4"/>
      <c r="U26" s="10">
        <v>52383</v>
      </c>
      <c r="V26" s="10"/>
      <c r="W26" s="10"/>
      <c r="X26" s="4"/>
      <c r="Y26" s="18">
        <f t="shared" si="26"/>
        <v>43040</v>
      </c>
      <c r="Z26" s="4"/>
      <c r="AA26" s="77">
        <f t="shared" si="21"/>
        <v>6.0501898012697277E-3</v>
      </c>
      <c r="AB26" s="8">
        <f t="shared" si="0"/>
        <v>128358</v>
      </c>
      <c r="AC26" s="2"/>
      <c r="AD26" s="6" t="s">
        <v>306</v>
      </c>
      <c r="AE26" s="4">
        <f>11080</f>
        <v>11080</v>
      </c>
      <c r="AF26" s="4">
        <v>326840</v>
      </c>
      <c r="AG26" s="4"/>
      <c r="AH26" s="4"/>
      <c r="AJ26" s="4"/>
      <c r="AK26" s="4"/>
      <c r="AL26" s="4"/>
      <c r="AM26" s="4"/>
      <c r="AO26" s="4"/>
      <c r="AP26" s="10"/>
      <c r="AQ26" s="4"/>
      <c r="AR26" s="4"/>
      <c r="AS26" s="4"/>
      <c r="AT26" s="4"/>
      <c r="AU26" s="4"/>
      <c r="AW26" s="4"/>
      <c r="AX26" s="4">
        <v>11994</v>
      </c>
      <c r="AY26" s="4"/>
      <c r="AZ26" s="4"/>
      <c r="BA26" s="4">
        <v>23988</v>
      </c>
      <c r="BB26" s="4"/>
      <c r="BC26" s="4"/>
      <c r="BD26" s="4"/>
      <c r="BE26" s="4"/>
      <c r="BF26" s="4"/>
      <c r="BH26" s="4">
        <v>36229</v>
      </c>
      <c r="BI26" s="4"/>
      <c r="BJ26" s="4"/>
      <c r="BK26" s="4"/>
      <c r="BL26" s="4"/>
      <c r="BM26" s="4">
        <v>18255</v>
      </c>
      <c r="BN26" s="4">
        <v>18583</v>
      </c>
      <c r="BO26" s="4"/>
      <c r="BP26" s="4"/>
      <c r="BQ26" s="4"/>
      <c r="BS26" s="10"/>
      <c r="BT26" s="4"/>
      <c r="BU26" s="4"/>
      <c r="BV26" s="4"/>
      <c r="BW26" s="4"/>
      <c r="CA26" s="4">
        <v>94686</v>
      </c>
      <c r="CB26" s="4"/>
      <c r="CC26" s="4">
        <v>46683</v>
      </c>
      <c r="CD26" s="4"/>
      <c r="CE26" s="4"/>
      <c r="CF26" s="4"/>
      <c r="CG26" s="4"/>
      <c r="CH26" s="4"/>
      <c r="CI26" s="4"/>
      <c r="CJ26" s="10"/>
      <c r="CK26" s="4"/>
      <c r="CL26" s="10"/>
      <c r="CN26" s="4"/>
      <c r="CO26" s="10"/>
      <c r="CP26" s="4"/>
      <c r="CQ26" s="4">
        <v>16506</v>
      </c>
      <c r="CR26" s="10"/>
      <c r="CS26" s="4"/>
      <c r="CT26" s="4"/>
      <c r="CU26" s="4">
        <v>19785</v>
      </c>
      <c r="CV26" s="4"/>
      <c r="CW26" s="4"/>
      <c r="CX26" s="4"/>
      <c r="CY26" s="77">
        <f t="shared" si="12"/>
        <v>1.8877151909505532E-3</v>
      </c>
      <c r="CZ26" s="8">
        <f>IF(A26="","",SUM(AE26:CX26))</f>
        <v>624629</v>
      </c>
      <c r="DA26" s="2"/>
      <c r="DH26" s="4"/>
      <c r="DJ26" s="4"/>
      <c r="DX26" s="2"/>
      <c r="DY26" s="32"/>
      <c r="DZ26" s="4">
        <v>6320</v>
      </c>
      <c r="EA26" s="32"/>
      <c r="EB26" s="32"/>
      <c r="EC26" s="32"/>
      <c r="ED26" s="32"/>
      <c r="EE26" s="4"/>
      <c r="EF26" s="4"/>
      <c r="EG26" s="32"/>
      <c r="EH26" s="32"/>
      <c r="EI26" s="32"/>
      <c r="EJ26" s="32"/>
      <c r="EK26" s="5"/>
      <c r="EO26" s="2"/>
      <c r="EQ26" s="468" t="s">
        <v>1</v>
      </c>
      <c r="ER26"/>
      <c r="ES26" s="6" t="s">
        <v>306</v>
      </c>
      <c r="ET26" s="10"/>
      <c r="EU26" s="10"/>
      <c r="EV26" s="10"/>
      <c r="EW26" s="10"/>
      <c r="EX26" s="4">
        <f>15954-3514</f>
        <v>12440</v>
      </c>
      <c r="EY26" s="4">
        <v>19986</v>
      </c>
      <c r="EZ26" s="4"/>
      <c r="FA26" s="4">
        <v>18813</v>
      </c>
      <c r="FB26" s="4"/>
      <c r="FC26" s="4"/>
      <c r="FD26" s="4"/>
      <c r="FE26" s="4"/>
      <c r="FF26" s="4"/>
      <c r="FG26" s="4"/>
      <c r="FH26" s="10">
        <v>20730</v>
      </c>
      <c r="FI26" s="10">
        <v>18245</v>
      </c>
      <c r="FJ26" s="10"/>
      <c r="FK26" s="10"/>
      <c r="FL26" s="10"/>
      <c r="FM26" s="10">
        <v>19989</v>
      </c>
      <c r="FN26" s="4"/>
      <c r="FO26" s="4"/>
      <c r="FP26" s="10">
        <v>18044</v>
      </c>
      <c r="FQ26" s="4"/>
      <c r="FR26" s="4"/>
      <c r="FS26" s="10">
        <v>18489</v>
      </c>
      <c r="FT26" s="4">
        <v>19629</v>
      </c>
      <c r="FU26" s="4">
        <v>14045</v>
      </c>
      <c r="FV26" s="4"/>
      <c r="FW26" s="4"/>
      <c r="FX26" s="4"/>
      <c r="FY26" s="4"/>
      <c r="FZ26" s="10">
        <v>18041</v>
      </c>
      <c r="GA26" s="10">
        <v>20924</v>
      </c>
      <c r="GB26" s="10"/>
      <c r="GC26" s="10"/>
      <c r="GD26" s="4"/>
      <c r="GE26" s="4"/>
      <c r="GF26" s="4">
        <v>17745</v>
      </c>
      <c r="GG26" s="4"/>
      <c r="GH26" s="4"/>
      <c r="GI26" s="4"/>
      <c r="GJ26" s="4"/>
      <c r="GK26" s="4">
        <v>16691</v>
      </c>
      <c r="GL26" s="4"/>
      <c r="GM26" s="4">
        <v>16548</v>
      </c>
      <c r="GN26" s="10">
        <v>18204</v>
      </c>
      <c r="GO26" s="10">
        <v>19513</v>
      </c>
      <c r="GP26" s="4"/>
      <c r="GQ26" s="10"/>
      <c r="GR26" s="4">
        <v>20447</v>
      </c>
      <c r="GS26" s="10"/>
      <c r="GT26" s="4"/>
      <c r="GU26" s="10"/>
      <c r="GV26" s="4"/>
      <c r="GW26" s="10"/>
      <c r="GX26" s="10">
        <v>19124</v>
      </c>
      <c r="GY26" s="10"/>
      <c r="GZ26" s="10"/>
      <c r="HA26" s="18">
        <v>43040</v>
      </c>
      <c r="HB26" s="4">
        <v>3750</v>
      </c>
      <c r="HC26" s="77">
        <f t="shared" si="22"/>
        <v>1.0910306925078876E-2</v>
      </c>
      <c r="HD26" s="8">
        <f>IF(A26="","",SUM(ET26:GZ26))</f>
        <v>347647</v>
      </c>
      <c r="HE26" s="2"/>
      <c r="HF26" s="3" t="s">
        <v>295</v>
      </c>
      <c r="HG26" s="4">
        <f>5979</f>
        <v>5979</v>
      </c>
      <c r="HH26" s="4"/>
      <c r="HI26" s="4"/>
      <c r="HJ26" s="4"/>
      <c r="HK26" s="4"/>
      <c r="HL26" s="4"/>
      <c r="HM26" s="4"/>
      <c r="HN26" s="4"/>
      <c r="HO26" s="4"/>
      <c r="HP26" s="4">
        <v>18444</v>
      </c>
      <c r="HQ26" s="4"/>
      <c r="HR26" s="4"/>
      <c r="HS26" s="4"/>
      <c r="HT26" s="10"/>
      <c r="HU26" s="10"/>
      <c r="HV26" s="4"/>
      <c r="HW26" s="4"/>
      <c r="HX26" s="4"/>
      <c r="HY26" s="4"/>
      <c r="HZ26" s="4"/>
      <c r="IA26" s="4"/>
      <c r="IB26" s="4"/>
      <c r="IC26" s="4">
        <v>16317</v>
      </c>
      <c r="ID26" s="10">
        <v>17341</v>
      </c>
      <c r="IE26" s="4"/>
      <c r="IF26" s="10"/>
      <c r="IG26" s="4"/>
      <c r="IH26" s="4"/>
      <c r="II26" s="4"/>
      <c r="IJ26" s="4"/>
      <c r="IK26" s="4"/>
      <c r="IL26" s="4"/>
      <c r="IM26" s="4"/>
      <c r="IN26" s="4"/>
      <c r="IO26" s="4"/>
      <c r="IP26" s="4"/>
      <c r="IQ26" s="4"/>
      <c r="IR26" s="4">
        <v>18255</v>
      </c>
      <c r="IS26" s="4">
        <v>18583</v>
      </c>
      <c r="IT26" s="10">
        <v>23230</v>
      </c>
      <c r="IU26" s="4">
        <v>20747</v>
      </c>
      <c r="IV26" s="4"/>
      <c r="IW26" s="4"/>
      <c r="IX26" s="10">
        <v>20202</v>
      </c>
      <c r="IY26" s="4"/>
      <c r="IZ26" s="4"/>
      <c r="JA26" s="4"/>
      <c r="JB26" s="4"/>
      <c r="JC26" s="4"/>
      <c r="JD26" s="4"/>
      <c r="JE26" s="4"/>
      <c r="JF26" s="10"/>
      <c r="JG26" s="10"/>
      <c r="JH26" s="10"/>
      <c r="JI26" s="4"/>
      <c r="JJ26" s="4"/>
      <c r="JK26" s="4"/>
      <c r="JL26" s="4">
        <v>16652</v>
      </c>
      <c r="JM26" s="4"/>
      <c r="JN26" s="10"/>
      <c r="JO26" s="10">
        <v>17015</v>
      </c>
      <c r="JP26" s="4"/>
      <c r="JQ26" s="4"/>
      <c r="JR26" s="4"/>
      <c r="JS26" s="4"/>
      <c r="JT26" s="4"/>
      <c r="JU26" s="10"/>
      <c r="JV26" s="4"/>
      <c r="JW26" s="4"/>
      <c r="JX26" s="4"/>
      <c r="JY26" s="4"/>
      <c r="JZ26" s="4"/>
      <c r="KA26" s="4"/>
      <c r="KB26" s="4"/>
      <c r="KC26" s="4"/>
      <c r="KD26" s="10">
        <v>16971</v>
      </c>
      <c r="KE26" s="10">
        <v>21621</v>
      </c>
      <c r="KF26" s="10">
        <v>14091</v>
      </c>
      <c r="KG26" s="4"/>
      <c r="KH26" s="10">
        <v>14300</v>
      </c>
      <c r="KI26" s="10"/>
      <c r="KJ26" s="10">
        <v>16733</v>
      </c>
      <c r="KK26" s="10"/>
      <c r="KL26" s="4">
        <v>16506</v>
      </c>
      <c r="KM26" s="10">
        <v>14284</v>
      </c>
      <c r="KN26" s="4"/>
      <c r="KO26" s="4"/>
      <c r="KP26" s="4">
        <v>19785</v>
      </c>
      <c r="KQ26" s="4"/>
      <c r="KR26" s="10"/>
      <c r="KS26" s="4"/>
      <c r="KT26" s="4"/>
      <c r="KU26" s="4"/>
      <c r="KV26" s="4"/>
      <c r="KW26" s="4"/>
      <c r="KX26" s="18"/>
      <c r="KY26" s="4"/>
      <c r="KZ26" s="77">
        <f t="shared" si="23"/>
        <v>2.4506395533102995E-4</v>
      </c>
      <c r="LA26" s="8">
        <f>IF(A26="","",SUM(HG26:KW26))</f>
        <v>327056</v>
      </c>
      <c r="LB26" s="2"/>
      <c r="LC26" s="43"/>
      <c r="MO26" s="172"/>
      <c r="NO26" s="77"/>
      <c r="NP26" s="63"/>
      <c r="NQ26"/>
      <c r="NR26" s="77" t="e">
        <f t="shared" si="24"/>
        <v>#DIV/0!</v>
      </c>
      <c r="NS26" s="8">
        <f t="shared" si="4"/>
        <v>0</v>
      </c>
      <c r="NT26" s="2"/>
      <c r="NU26" s="3" t="s">
        <v>295</v>
      </c>
      <c r="NV26" s="4">
        <v>6320</v>
      </c>
      <c r="NW26" s="4"/>
      <c r="NX26" s="4">
        <v>28225</v>
      </c>
      <c r="NY26" s="4"/>
      <c r="NZ26" s="4">
        <v>27973</v>
      </c>
      <c r="OA26" s="4"/>
      <c r="OB26" s="4"/>
      <c r="OC26" s="4"/>
      <c r="OD26" s="4"/>
      <c r="OE26" s="77">
        <f t="shared" si="25"/>
        <v>1.2043901965228089E-2</v>
      </c>
      <c r="OF26" s="8">
        <f t="shared" si="5"/>
        <v>62518</v>
      </c>
      <c r="OG26" s="2"/>
      <c r="OJ26" s="40"/>
      <c r="OK26" s="40"/>
      <c r="OL26" s="40"/>
      <c r="OM26" s="40"/>
      <c r="ON26" s="40"/>
      <c r="OO26" s="40"/>
      <c r="OQ26" s="40"/>
      <c r="OR26" s="77"/>
      <c r="OS26" s="35"/>
      <c r="OT26" s="37"/>
      <c r="OU26" s="126">
        <f>IF(A26="","",AB26+CZ26+OF26)</f>
        <v>815505</v>
      </c>
      <c r="OV26" s="71">
        <f t="shared" si="9"/>
        <v>3.3129670866891602E-3</v>
      </c>
      <c r="OW26" s="139">
        <f>IF(A26="","",SUM(Z$17:Z26))</f>
        <v>20000</v>
      </c>
      <c r="OX26" s="139">
        <f t="shared" si="13"/>
        <v>835505</v>
      </c>
      <c r="OY26" s="132">
        <f t="shared" si="14"/>
        <v>0.1708490461596241</v>
      </c>
      <c r="OZ26" s="140">
        <f>IF(A26="","",HD26+LA26)</f>
        <v>674703</v>
      </c>
      <c r="PA26" s="84">
        <f t="shared" si="15"/>
        <v>5.7121722992682696E-3</v>
      </c>
      <c r="PB26" s="130">
        <f>IF(A26="","",SUM(HB$17:HB26)+SUM(KY$17:KY26))</f>
        <v>15000</v>
      </c>
      <c r="PC26" s="131">
        <f t="shared" si="16"/>
        <v>689703</v>
      </c>
      <c r="PD26" s="132">
        <f t="shared" si="17"/>
        <v>4.4180275873136506E-2</v>
      </c>
      <c r="PE26" s="133"/>
      <c r="PF26" s="134"/>
      <c r="PG26" s="133"/>
      <c r="PH26" s="134"/>
      <c r="PI26" s="135">
        <f t="shared" si="8"/>
        <v>1490208</v>
      </c>
      <c r="PJ26" s="136">
        <f t="shared" si="10"/>
        <v>4.3978058521327631E-3</v>
      </c>
      <c r="PK26" s="123"/>
      <c r="PL26" s="137">
        <f t="shared" si="18"/>
        <v>35000</v>
      </c>
      <c r="PM26" s="9">
        <f t="shared" si="19"/>
        <v>1525208</v>
      </c>
      <c r="PN26" s="138">
        <f t="shared" si="20"/>
        <v>0.10996062906171995</v>
      </c>
      <c r="PO26" s="86">
        <f>IF(PI26="","",MAX(PI$15:PI26))</f>
        <v>1490208</v>
      </c>
      <c r="PP26" s="113">
        <f t="shared" si="11"/>
        <v>0</v>
      </c>
      <c r="PQ26" s="41"/>
      <c r="PR26" s="302"/>
    </row>
    <row r="27" spans="1:434" s="1" customFormat="1" ht="15" customHeight="1" x14ac:dyDescent="0.45">
      <c r="A27" s="18"/>
      <c r="B27" s="3"/>
      <c r="C27" s="4"/>
      <c r="D27" s="10"/>
      <c r="E27" s="10"/>
      <c r="F27" s="10"/>
      <c r="G27" s="4"/>
      <c r="H27" s="4"/>
      <c r="I27" s="4"/>
      <c r="J27" s="4"/>
      <c r="K27" s="4"/>
      <c r="L27" s="4"/>
      <c r="M27" s="4"/>
      <c r="N27" s="4"/>
      <c r="O27" s="10"/>
      <c r="P27" s="4"/>
      <c r="Q27" s="4"/>
      <c r="R27" s="4"/>
      <c r="S27" s="4"/>
      <c r="T27" s="4"/>
      <c r="U27" s="10"/>
      <c r="V27" s="10"/>
      <c r="W27" s="10"/>
      <c r="X27" s="4"/>
      <c r="Y27" s="18">
        <f t="shared" si="26"/>
        <v>43070</v>
      </c>
      <c r="Z27" s="4"/>
      <c r="AA27" s="77" t="str">
        <f t="shared" si="21"/>
        <v/>
      </c>
      <c r="AB27" s="8" t="str">
        <f t="shared" si="0"/>
        <v/>
      </c>
      <c r="AC27" s="2"/>
      <c r="AD27" s="3"/>
      <c r="AE27" s="4"/>
      <c r="AF27" s="4"/>
      <c r="AG27" s="4"/>
      <c r="AH27" s="4"/>
      <c r="AJ27" s="4"/>
      <c r="AK27" s="4"/>
      <c r="AL27" s="4"/>
      <c r="AM27" s="4"/>
      <c r="AO27" s="4"/>
      <c r="AP27" s="10"/>
      <c r="AQ27" s="4"/>
      <c r="AR27" s="4"/>
      <c r="AS27" s="4"/>
      <c r="AT27" s="4"/>
      <c r="AU27" s="4"/>
      <c r="AW27" s="4"/>
      <c r="AX27" s="4"/>
      <c r="AY27" s="4"/>
      <c r="AZ27" s="4"/>
      <c r="BA27" s="4"/>
      <c r="BB27" s="4"/>
      <c r="BC27" s="4"/>
      <c r="BD27" s="4"/>
      <c r="BE27" s="4"/>
      <c r="BF27" s="4"/>
      <c r="BH27" s="4"/>
      <c r="BI27" s="4"/>
      <c r="BJ27" s="4"/>
      <c r="BK27" s="4"/>
      <c r="BL27" s="4"/>
      <c r="BM27" s="4"/>
      <c r="BN27" s="4"/>
      <c r="BO27" s="4"/>
      <c r="BP27" s="4"/>
      <c r="BQ27" s="4"/>
      <c r="BS27" s="10"/>
      <c r="BT27" s="4"/>
      <c r="BU27" s="4"/>
      <c r="BV27" s="4"/>
      <c r="BW27" s="4"/>
      <c r="CA27" s="4"/>
      <c r="CB27" s="4"/>
      <c r="CC27" s="4"/>
      <c r="CD27" s="4"/>
      <c r="CE27" s="4"/>
      <c r="CF27" s="4"/>
      <c r="CG27" s="4"/>
      <c r="CH27" s="4"/>
      <c r="CI27" s="4"/>
      <c r="CJ27" s="10"/>
      <c r="CK27" s="4"/>
      <c r="CL27" s="10"/>
      <c r="CN27" s="4"/>
      <c r="CO27" s="10"/>
      <c r="CP27" s="4"/>
      <c r="CQ27" s="4"/>
      <c r="CR27" s="10"/>
      <c r="CS27" s="4"/>
      <c r="CT27" s="4"/>
      <c r="CU27" s="4"/>
      <c r="CV27" s="4"/>
      <c r="CW27" s="4"/>
      <c r="CX27" s="4"/>
      <c r="CY27" s="77" t="str">
        <f t="shared" si="12"/>
        <v/>
      </c>
      <c r="CZ27" s="8" t="str">
        <f>IF(A27="","",SUM(AE27:CX27))</f>
        <v/>
      </c>
      <c r="DA27" s="2"/>
      <c r="DH27" s="4"/>
      <c r="DJ27" s="4"/>
      <c r="DX27" s="2"/>
      <c r="DY27" s="32"/>
      <c r="DZ27" s="4"/>
      <c r="EA27" s="32"/>
      <c r="EB27" s="32"/>
      <c r="EC27" s="32"/>
      <c r="ED27" s="32"/>
      <c r="EE27" s="4"/>
      <c r="EF27" s="4"/>
      <c r="EG27" s="32"/>
      <c r="EH27" s="32"/>
      <c r="EI27" s="32"/>
      <c r="EJ27" s="32"/>
      <c r="EK27" s="5"/>
      <c r="EO27" s="2"/>
      <c r="EQ27" s="468" t="s">
        <v>1</v>
      </c>
      <c r="ER27"/>
      <c r="ES27" s="6"/>
      <c r="ET27" s="10"/>
      <c r="EU27" s="10"/>
      <c r="EV27" s="10"/>
      <c r="EW27" s="10"/>
      <c r="EX27" s="4"/>
      <c r="EY27" s="4"/>
      <c r="EZ27" s="4"/>
      <c r="FA27" s="4"/>
      <c r="FB27" s="4"/>
      <c r="FC27" s="4"/>
      <c r="FD27" s="4"/>
      <c r="FE27" s="4"/>
      <c r="FF27" s="4"/>
      <c r="FG27" s="4"/>
      <c r="FH27" s="10"/>
      <c r="FI27" s="10"/>
      <c r="FJ27" s="10"/>
      <c r="FK27" s="10"/>
      <c r="FL27" s="10"/>
      <c r="FM27" s="10"/>
      <c r="FN27" s="4"/>
      <c r="FO27" s="4"/>
      <c r="FP27" s="10"/>
      <c r="FQ27" s="4"/>
      <c r="FR27" s="4"/>
      <c r="FS27" s="10"/>
      <c r="FT27" s="4"/>
      <c r="FU27" s="4"/>
      <c r="FV27" s="4"/>
      <c r="FW27" s="4"/>
      <c r="FX27" s="4"/>
      <c r="FY27" s="4"/>
      <c r="FZ27" s="10"/>
      <c r="GA27" s="10"/>
      <c r="GB27" s="10"/>
      <c r="GC27" s="10"/>
      <c r="GD27" s="4"/>
      <c r="GE27" s="4"/>
      <c r="GF27" s="4"/>
      <c r="GG27" s="4"/>
      <c r="GH27" s="4"/>
      <c r="GI27" s="4"/>
      <c r="GJ27" s="4"/>
      <c r="GK27" s="4"/>
      <c r="GL27" s="4"/>
      <c r="GM27" s="4"/>
      <c r="GN27" s="10"/>
      <c r="GO27" s="10"/>
      <c r="GP27" s="4"/>
      <c r="GQ27" s="10"/>
      <c r="GR27" s="4"/>
      <c r="GS27" s="10"/>
      <c r="GT27" s="4"/>
      <c r="GU27" s="10"/>
      <c r="GV27" s="4"/>
      <c r="GW27" s="10"/>
      <c r="GX27" s="10"/>
      <c r="GY27" s="10"/>
      <c r="GZ27" s="10"/>
      <c r="HA27" s="18">
        <v>43070</v>
      </c>
      <c r="HB27" s="4">
        <v>3750</v>
      </c>
      <c r="HC27" s="77" t="str">
        <f t="shared" si="22"/>
        <v/>
      </c>
      <c r="HD27" s="8" t="str">
        <f>IF(A27="","",SUM(ET27:GZ27))</f>
        <v/>
      </c>
      <c r="HE27" s="2"/>
      <c r="HF27" s="3"/>
      <c r="HG27" s="4"/>
      <c r="HH27" s="4"/>
      <c r="HI27" s="4"/>
      <c r="HJ27" s="4"/>
      <c r="HK27" s="4"/>
      <c r="HL27" s="4"/>
      <c r="HM27" s="4"/>
      <c r="HN27" s="4"/>
      <c r="HO27" s="4"/>
      <c r="HP27" s="4"/>
      <c r="HQ27" s="4"/>
      <c r="HR27" s="4"/>
      <c r="HS27" s="4"/>
      <c r="HT27" s="10"/>
      <c r="HU27" s="10"/>
      <c r="HV27" s="4"/>
      <c r="HW27" s="4"/>
      <c r="HX27" s="4"/>
      <c r="HY27" s="4"/>
      <c r="HZ27" s="4"/>
      <c r="IA27" s="4"/>
      <c r="IB27" s="4"/>
      <c r="IC27" s="4"/>
      <c r="ID27" s="10"/>
      <c r="IE27" s="4"/>
      <c r="IF27" s="10"/>
      <c r="IG27" s="4"/>
      <c r="IH27" s="4"/>
      <c r="II27" s="4"/>
      <c r="IJ27" s="4"/>
      <c r="IK27" s="4"/>
      <c r="IL27" s="4"/>
      <c r="IM27" s="4"/>
      <c r="IN27" s="4"/>
      <c r="IO27" s="4"/>
      <c r="IP27" s="4"/>
      <c r="IQ27" s="4"/>
      <c r="IR27" s="4"/>
      <c r="IS27" s="4"/>
      <c r="IT27" s="10"/>
      <c r="IU27" s="4"/>
      <c r="IV27" s="4"/>
      <c r="IW27" s="4"/>
      <c r="IX27" s="10"/>
      <c r="IY27" s="4"/>
      <c r="IZ27" s="4"/>
      <c r="JA27" s="4"/>
      <c r="JB27" s="4"/>
      <c r="JC27" s="4"/>
      <c r="JD27" s="4"/>
      <c r="JE27" s="4"/>
      <c r="JF27" s="10"/>
      <c r="JG27" s="10"/>
      <c r="JH27" s="10"/>
      <c r="JI27" s="4"/>
      <c r="JJ27" s="4"/>
      <c r="JK27" s="4"/>
      <c r="JL27" s="4"/>
      <c r="JM27" s="4"/>
      <c r="JN27" s="10"/>
      <c r="JO27" s="10"/>
      <c r="JP27" s="4"/>
      <c r="JQ27" s="4"/>
      <c r="JR27" s="4"/>
      <c r="JS27" s="4"/>
      <c r="JT27" s="4"/>
      <c r="JU27" s="10"/>
      <c r="JV27" s="4"/>
      <c r="JW27" s="4"/>
      <c r="JX27" s="4"/>
      <c r="JY27" s="4"/>
      <c r="JZ27" s="4"/>
      <c r="KA27" s="4"/>
      <c r="KB27" s="4"/>
      <c r="KC27" s="4"/>
      <c r="KD27" s="10"/>
      <c r="KE27" s="10"/>
      <c r="KF27" s="10"/>
      <c r="KG27" s="4"/>
      <c r="KH27" s="10"/>
      <c r="KI27" s="10"/>
      <c r="KJ27" s="10"/>
      <c r="KK27" s="10"/>
      <c r="KL27" s="4"/>
      <c r="KM27" s="10"/>
      <c r="KN27" s="4"/>
      <c r="KO27" s="4"/>
      <c r="KP27" s="4"/>
      <c r="KQ27" s="4"/>
      <c r="KR27" s="10"/>
      <c r="KS27" s="4"/>
      <c r="KT27" s="4"/>
      <c r="KU27" s="4"/>
      <c r="KV27" s="4"/>
      <c r="KW27" s="4"/>
      <c r="KX27" s="18"/>
      <c r="KY27" s="4"/>
      <c r="KZ27" s="77" t="str">
        <f t="shared" si="23"/>
        <v/>
      </c>
      <c r="LA27" s="8" t="str">
        <f>IF(A27="","",SUM(HG27:KW27))</f>
        <v/>
      </c>
      <c r="LB27" s="2"/>
      <c r="LC27" s="43"/>
      <c r="MO27" s="172"/>
      <c r="NO27" s="77"/>
      <c r="NP27" s="63"/>
      <c r="NQ27"/>
      <c r="NR27" s="77" t="str">
        <f t="shared" si="24"/>
        <v/>
      </c>
      <c r="NS27" s="8" t="str">
        <f t="shared" si="4"/>
        <v/>
      </c>
      <c r="NT27" s="2"/>
      <c r="NU27" s="7"/>
      <c r="NV27" s="4"/>
      <c r="NW27" s="4"/>
      <c r="NX27" s="4"/>
      <c r="NY27" s="4"/>
      <c r="NZ27" s="4"/>
      <c r="OA27" s="4"/>
      <c r="OB27" s="4"/>
      <c r="OC27" s="4"/>
      <c r="OD27" s="4"/>
      <c r="OE27" s="77" t="str">
        <f t="shared" si="25"/>
        <v/>
      </c>
      <c r="OF27" s="8" t="str">
        <f t="shared" si="5"/>
        <v/>
      </c>
      <c r="OG27" s="2"/>
      <c r="OJ27" s="40"/>
      <c r="OK27" s="40"/>
      <c r="OL27" s="40"/>
      <c r="OM27" s="40"/>
      <c r="ON27" s="40"/>
      <c r="OO27" s="40"/>
      <c r="OQ27" s="40"/>
      <c r="OR27" s="77"/>
      <c r="OS27" s="35"/>
      <c r="OT27" s="37"/>
      <c r="OU27" s="126" t="str">
        <f>IF(A27="","",AB27+CZ27+OF27)</f>
        <v/>
      </c>
      <c r="OV27" s="71" t="str">
        <f t="shared" si="9"/>
        <v/>
      </c>
      <c r="OW27" s="139" t="str">
        <f>IF(A27="","",SUM(Z$17:Z27))</f>
        <v/>
      </c>
      <c r="OX27" s="139" t="str">
        <f t="shared" si="13"/>
        <v/>
      </c>
      <c r="OY27" s="132" t="str">
        <f t="shared" si="14"/>
        <v/>
      </c>
      <c r="OZ27" s="140" t="str">
        <f>IF(A27="","",HD27+LA27)</f>
        <v/>
      </c>
      <c r="PA27" s="84" t="str">
        <f t="shared" si="15"/>
        <v/>
      </c>
      <c r="PB27" s="130" t="str">
        <f>IF(A27="","",SUM(HB$17:HB27)+SUM(KY$17:KY27))</f>
        <v/>
      </c>
      <c r="PC27" s="131" t="str">
        <f t="shared" si="16"/>
        <v/>
      </c>
      <c r="PD27" s="132" t="str">
        <f t="shared" si="17"/>
        <v/>
      </c>
      <c r="PE27" s="133"/>
      <c r="PF27" s="134"/>
      <c r="PG27" s="133"/>
      <c r="PH27" s="134"/>
      <c r="PI27" s="135" t="str">
        <f t="shared" si="8"/>
        <v/>
      </c>
      <c r="PJ27" s="136" t="str">
        <f t="shared" si="10"/>
        <v/>
      </c>
      <c r="PK27" s="123"/>
      <c r="PL27" s="137" t="str">
        <f t="shared" si="18"/>
        <v/>
      </c>
      <c r="PM27" s="9" t="str">
        <f t="shared" si="19"/>
        <v/>
      </c>
      <c r="PN27" s="138" t="str">
        <f t="shared" si="20"/>
        <v/>
      </c>
      <c r="PO27" s="86" t="str">
        <f>IF(PI27="","",MAX(PI$15:PI27))</f>
        <v/>
      </c>
      <c r="PP27" s="113" t="str">
        <f t="shared" si="11"/>
        <v/>
      </c>
      <c r="PQ27" s="41"/>
      <c r="PR27" s="302"/>
    </row>
    <row r="28" spans="1:434" s="1" customFormat="1" ht="15" customHeight="1" x14ac:dyDescent="0.45">
      <c r="A28" s="18">
        <v>43104</v>
      </c>
      <c r="B28" s="3" t="s">
        <v>308</v>
      </c>
      <c r="C28" s="4">
        <v>19907</v>
      </c>
      <c r="D28" s="10"/>
      <c r="E28" s="10"/>
      <c r="F28" s="10"/>
      <c r="G28" s="4"/>
      <c r="H28" s="4"/>
      <c r="I28" s="4">
        <v>20286</v>
      </c>
      <c r="J28" s="4">
        <v>14688</v>
      </c>
      <c r="K28" s="4"/>
      <c r="L28" s="4"/>
      <c r="M28" s="4"/>
      <c r="N28" s="4"/>
      <c r="O28" s="10"/>
      <c r="P28" s="4"/>
      <c r="Q28" s="4"/>
      <c r="R28" s="4">
        <v>29723</v>
      </c>
      <c r="S28" s="4"/>
      <c r="T28" s="4"/>
      <c r="U28" s="10">
        <v>52610</v>
      </c>
      <c r="V28" s="10"/>
      <c r="W28" s="10"/>
      <c r="X28" s="4"/>
      <c r="Y28" s="18">
        <f t="shared" si="26"/>
        <v>43101</v>
      </c>
      <c r="Z28" s="4"/>
      <c r="AA28" s="77" t="e">
        <f t="shared" si="21"/>
        <v>#VALUE!</v>
      </c>
      <c r="AB28" s="8">
        <f t="shared" si="0"/>
        <v>137214</v>
      </c>
      <c r="AC28" s="2"/>
      <c r="AD28" s="6" t="s">
        <v>309</v>
      </c>
      <c r="AE28" s="4">
        <v>42207</v>
      </c>
      <c r="AF28" s="4">
        <v>324476</v>
      </c>
      <c r="AG28" s="4"/>
      <c r="AH28" s="4"/>
      <c r="AJ28" s="4"/>
      <c r="AK28" s="4"/>
      <c r="AL28" s="4"/>
      <c r="AM28" s="4"/>
      <c r="AO28" s="4"/>
      <c r="AP28" s="10"/>
      <c r="AQ28" s="4"/>
      <c r="AR28" s="4"/>
      <c r="AS28" s="4"/>
      <c r="AT28" s="4"/>
      <c r="AU28" s="4"/>
      <c r="AW28" s="4"/>
      <c r="AX28" s="4">
        <v>12064</v>
      </c>
      <c r="AY28" s="4"/>
      <c r="AZ28" s="4"/>
      <c r="BA28" s="4">
        <v>24044</v>
      </c>
      <c r="BB28" s="4"/>
      <c r="BC28" s="4"/>
      <c r="BD28" s="4"/>
      <c r="BE28" s="4"/>
      <c r="BF28" s="4"/>
      <c r="BH28" s="4">
        <v>36500</v>
      </c>
      <c r="BI28" s="4"/>
      <c r="BJ28" s="4"/>
      <c r="BK28" s="4"/>
      <c r="BL28" s="4"/>
      <c r="BM28" s="4">
        <v>19266</v>
      </c>
      <c r="BN28" s="4">
        <v>19343</v>
      </c>
      <c r="BO28" s="4"/>
      <c r="BP28" s="4"/>
      <c r="BQ28" s="4"/>
      <c r="BS28" s="10"/>
      <c r="BT28" s="4"/>
      <c r="BU28" s="4"/>
      <c r="BV28" s="4"/>
      <c r="BW28" s="4"/>
      <c r="CA28" s="4">
        <v>95165</v>
      </c>
      <c r="CB28" s="4"/>
      <c r="CC28" s="4">
        <v>17753</v>
      </c>
      <c r="CD28" s="4"/>
      <c r="CE28" s="4"/>
      <c r="CF28" s="4"/>
      <c r="CG28" s="4"/>
      <c r="CH28" s="4"/>
      <c r="CI28" s="4"/>
      <c r="CJ28" s="10"/>
      <c r="CK28" s="4"/>
      <c r="CL28" s="10"/>
      <c r="CN28" s="4"/>
      <c r="CO28" s="10"/>
      <c r="CP28" s="4"/>
      <c r="CQ28" s="4">
        <v>16350</v>
      </c>
      <c r="CR28" s="10"/>
      <c r="CS28" s="4"/>
      <c r="CT28" s="4"/>
      <c r="CU28" s="4">
        <v>19455</v>
      </c>
      <c r="CV28" s="4"/>
      <c r="CW28" s="4"/>
      <c r="CX28" s="4"/>
      <c r="CY28" s="77" t="e">
        <f t="shared" si="12"/>
        <v>#VALUE!</v>
      </c>
      <c r="CZ28" s="8">
        <f>IF(A28="","",SUM(AE28:CX28))</f>
        <v>626623</v>
      </c>
      <c r="DA28" s="2"/>
      <c r="DH28" s="4"/>
      <c r="DJ28" s="4"/>
      <c r="DX28" s="2"/>
      <c r="DY28" s="32"/>
      <c r="DZ28" s="4">
        <v>4</v>
      </c>
      <c r="EA28" s="32"/>
      <c r="EB28" s="32"/>
      <c r="EC28" s="32"/>
      <c r="ED28" s="32"/>
      <c r="EE28" s="4"/>
      <c r="EF28" s="4"/>
      <c r="EG28" s="32"/>
      <c r="EH28" s="32"/>
      <c r="EI28" s="32"/>
      <c r="EJ28" s="32"/>
      <c r="EK28" s="5"/>
      <c r="EO28" s="2"/>
      <c r="EQ28" s="468" t="s">
        <v>1</v>
      </c>
      <c r="ER28"/>
      <c r="ES28" s="6" t="s">
        <v>306</v>
      </c>
      <c r="ET28" s="10"/>
      <c r="EU28" s="10"/>
      <c r="EV28" s="10"/>
      <c r="EW28" s="10"/>
      <c r="EX28" s="4">
        <v>6182</v>
      </c>
      <c r="EY28" s="4">
        <v>20765</v>
      </c>
      <c r="EZ28" s="4"/>
      <c r="FA28" s="4">
        <v>20186</v>
      </c>
      <c r="FB28" s="4"/>
      <c r="FC28" s="4"/>
      <c r="FD28" s="4"/>
      <c r="FE28" s="4"/>
      <c r="FF28" s="4"/>
      <c r="FG28" s="4"/>
      <c r="FH28" s="10">
        <v>23502</v>
      </c>
      <c r="FI28" s="10">
        <v>18202</v>
      </c>
      <c r="FJ28" s="10"/>
      <c r="FK28" s="10"/>
      <c r="FL28" s="10"/>
      <c r="FM28" s="10">
        <v>23499</v>
      </c>
      <c r="FN28" s="4"/>
      <c r="FO28" s="4"/>
      <c r="FP28" s="10">
        <v>21135</v>
      </c>
      <c r="FQ28" s="4"/>
      <c r="FR28" s="4"/>
      <c r="FS28" s="10">
        <v>19548</v>
      </c>
      <c r="FT28" s="4">
        <v>20286</v>
      </c>
      <c r="FU28" s="4">
        <v>14688</v>
      </c>
      <c r="FV28" s="4"/>
      <c r="FW28" s="4"/>
      <c r="FX28" s="4"/>
      <c r="FY28" s="4"/>
      <c r="FZ28" s="10">
        <v>20666</v>
      </c>
      <c r="GA28" s="10">
        <v>21985</v>
      </c>
      <c r="GB28" s="10"/>
      <c r="GC28" s="10"/>
      <c r="GD28" s="4"/>
      <c r="GE28" s="4"/>
      <c r="GF28" s="4">
        <v>16769</v>
      </c>
      <c r="GG28" s="4"/>
      <c r="GH28" s="4"/>
      <c r="GI28" s="4"/>
      <c r="GJ28" s="4"/>
      <c r="GK28" s="4">
        <v>13964</v>
      </c>
      <c r="GL28" s="4"/>
      <c r="GM28" s="4">
        <v>17634</v>
      </c>
      <c r="GN28" s="10">
        <v>18078</v>
      </c>
      <c r="GO28" s="10">
        <v>21123</v>
      </c>
      <c r="GP28" s="4"/>
      <c r="GQ28" s="10"/>
      <c r="GR28" s="4">
        <v>23959</v>
      </c>
      <c r="GS28" s="10"/>
      <c r="GT28" s="4"/>
      <c r="GU28" s="10"/>
      <c r="GV28" s="4"/>
      <c r="GW28" s="10"/>
      <c r="GX28" s="10">
        <v>21028</v>
      </c>
      <c r="GY28" s="10"/>
      <c r="GZ28" s="10"/>
      <c r="HA28" s="18">
        <v>43101</v>
      </c>
      <c r="HB28" s="4">
        <v>3750</v>
      </c>
      <c r="HC28" s="77" t="e">
        <f t="shared" si="22"/>
        <v>#VALUE!</v>
      </c>
      <c r="HD28" s="8">
        <f>IF(A28="","",SUM(ET28:GZ28))</f>
        <v>363199</v>
      </c>
      <c r="HE28" s="2"/>
      <c r="HF28" s="3" t="s">
        <v>295</v>
      </c>
      <c r="HG28" s="4">
        <v>7466</v>
      </c>
      <c r="HH28" s="4"/>
      <c r="HI28" s="4"/>
      <c r="HJ28" s="4"/>
      <c r="HK28" s="4"/>
      <c r="HL28" s="4"/>
      <c r="HM28" s="4"/>
      <c r="HN28" s="4"/>
      <c r="HO28" s="4"/>
      <c r="HP28" s="4">
        <v>19004</v>
      </c>
      <c r="HQ28" s="4"/>
      <c r="HR28" s="4"/>
      <c r="HS28" s="4"/>
      <c r="HT28" s="10"/>
      <c r="HU28" s="10"/>
      <c r="HV28" s="4"/>
      <c r="HW28" s="4"/>
      <c r="HX28" s="4"/>
      <c r="HY28" s="4"/>
      <c r="HZ28" s="4"/>
      <c r="IA28" s="4"/>
      <c r="IB28" s="4"/>
      <c r="IC28" s="4">
        <v>17302</v>
      </c>
      <c r="ID28" s="10">
        <v>19569</v>
      </c>
      <c r="IE28" s="4"/>
      <c r="IF28" s="10"/>
      <c r="IG28" s="4"/>
      <c r="IH28" s="4"/>
      <c r="II28" s="4"/>
      <c r="IJ28" s="4"/>
      <c r="IK28" s="4"/>
      <c r="IL28" s="4"/>
      <c r="IM28" s="4"/>
      <c r="IN28" s="4"/>
      <c r="IO28" s="4"/>
      <c r="IP28" s="4"/>
      <c r="IQ28" s="4"/>
      <c r="IR28" s="4">
        <v>19266</v>
      </c>
      <c r="IS28" s="4">
        <v>19343</v>
      </c>
      <c r="IT28" s="10">
        <v>21885</v>
      </c>
      <c r="IU28" s="4">
        <v>21890</v>
      </c>
      <c r="IV28" s="4"/>
      <c r="IW28" s="4"/>
      <c r="IX28" s="10">
        <v>21848</v>
      </c>
      <c r="IY28" s="4"/>
      <c r="IZ28" s="4"/>
      <c r="JA28" s="4"/>
      <c r="JB28" s="4"/>
      <c r="JC28" s="4"/>
      <c r="JD28" s="4"/>
      <c r="JE28" s="4"/>
      <c r="JF28" s="10"/>
      <c r="JG28" s="10"/>
      <c r="JH28" s="10"/>
      <c r="JI28" s="4"/>
      <c r="JJ28" s="4"/>
      <c r="JK28" s="4"/>
      <c r="JL28" s="4">
        <v>17142</v>
      </c>
      <c r="JM28" s="4"/>
      <c r="JN28" s="10"/>
      <c r="JO28" s="10">
        <v>19145</v>
      </c>
      <c r="JP28" s="4"/>
      <c r="JQ28" s="4"/>
      <c r="JR28" s="4"/>
      <c r="JS28" s="4"/>
      <c r="JT28" s="4"/>
      <c r="JU28" s="10"/>
      <c r="JV28" s="4"/>
      <c r="JW28" s="4"/>
      <c r="JX28" s="4"/>
      <c r="JY28" s="4"/>
      <c r="JZ28" s="4"/>
      <c r="KA28" s="4"/>
      <c r="KB28" s="4"/>
      <c r="KC28" s="4"/>
      <c r="KD28" s="10">
        <v>17863</v>
      </c>
      <c r="KE28" s="10">
        <v>22965</v>
      </c>
      <c r="KF28" s="10">
        <v>15454</v>
      </c>
      <c r="KG28" s="4"/>
      <c r="KH28" s="10">
        <v>14877</v>
      </c>
      <c r="KI28" s="10"/>
      <c r="KJ28" s="10">
        <v>17907</v>
      </c>
      <c r="KK28" s="10"/>
      <c r="KL28" s="4">
        <v>16350</v>
      </c>
      <c r="KM28" s="10">
        <v>13573</v>
      </c>
      <c r="KN28" s="4"/>
      <c r="KO28" s="4"/>
      <c r="KP28" s="4">
        <v>19455</v>
      </c>
      <c r="KQ28" s="4"/>
      <c r="KR28" s="10"/>
      <c r="KS28" s="4"/>
      <c r="KT28" s="4"/>
      <c r="KU28" s="4"/>
      <c r="KV28" s="4"/>
      <c r="KW28" s="4"/>
      <c r="KX28" s="18"/>
      <c r="KY28" s="4"/>
      <c r="KZ28" s="77" t="e">
        <f t="shared" si="23"/>
        <v>#VALUE!</v>
      </c>
      <c r="LA28" s="8">
        <f>IF(A28="","",SUM(HG28:KW28))</f>
        <v>342304</v>
      </c>
      <c r="LB28" s="2"/>
      <c r="LC28" s="43"/>
      <c r="MO28" s="172"/>
      <c r="NO28" s="77"/>
      <c r="NP28" s="63"/>
      <c r="NQ28"/>
      <c r="NR28" s="77" t="e">
        <f t="shared" si="24"/>
        <v>#VALUE!</v>
      </c>
      <c r="NS28" s="8">
        <f t="shared" si="4"/>
        <v>0</v>
      </c>
      <c r="NT28" s="2"/>
      <c r="NU28" s="3" t="s">
        <v>310</v>
      </c>
      <c r="NV28" s="4">
        <v>4</v>
      </c>
      <c r="NW28" s="4"/>
      <c r="NX28" s="4">
        <v>29981</v>
      </c>
      <c r="NY28" s="4"/>
      <c r="NZ28" s="4"/>
      <c r="OA28" s="4"/>
      <c r="OB28" s="4"/>
      <c r="OC28" s="4"/>
      <c r="OD28" s="4"/>
      <c r="OE28" s="77" t="e">
        <f t="shared" si="25"/>
        <v>#VALUE!</v>
      </c>
      <c r="OF28" s="8">
        <f t="shared" si="5"/>
        <v>29985</v>
      </c>
      <c r="OG28" s="2"/>
      <c r="OJ28" s="40"/>
      <c r="OK28" s="40"/>
      <c r="OL28" s="40"/>
      <c r="OM28" s="40"/>
      <c r="ON28" s="40"/>
      <c r="OO28" s="40"/>
      <c r="OQ28" s="40"/>
      <c r="OR28" s="77"/>
      <c r="OS28" s="35"/>
      <c r="OT28" s="37"/>
      <c r="OU28" s="126">
        <f>IF(A28="","",AB28+CZ28+OF28)</f>
        <v>793822</v>
      </c>
      <c r="OV28" s="71" t="e">
        <f t="shared" si="9"/>
        <v>#VALUE!</v>
      </c>
      <c r="OW28" s="139">
        <f>IF(A28="","",SUM(Z$17:Z28))</f>
        <v>20000</v>
      </c>
      <c r="OX28" s="139">
        <f t="shared" si="13"/>
        <v>813822</v>
      </c>
      <c r="OY28" s="132">
        <f t="shared" si="14"/>
        <v>0.1404632078129007</v>
      </c>
      <c r="OZ28" s="140">
        <f>IF(A28="","",HD28+LA28)</f>
        <v>705503</v>
      </c>
      <c r="PA28" s="84" t="e">
        <f t="shared" si="15"/>
        <v>#VALUE!</v>
      </c>
      <c r="PB28" s="130">
        <f>IF(A28="","",SUM(HB$17:HB28)+SUM(KY$17:KY28))</f>
        <v>22500</v>
      </c>
      <c r="PC28" s="131">
        <f t="shared" si="16"/>
        <v>728003</v>
      </c>
      <c r="PD28" s="132">
        <f t="shared" si="17"/>
        <v>0.10216480626656836</v>
      </c>
      <c r="PE28" s="133"/>
      <c r="PF28" s="134"/>
      <c r="PG28" s="133"/>
      <c r="PH28" s="134"/>
      <c r="PI28" s="135">
        <f t="shared" si="8"/>
        <v>1499325</v>
      </c>
      <c r="PJ28" s="136" t="e">
        <f t="shared" si="10"/>
        <v>#VALUE!</v>
      </c>
      <c r="PK28" s="123"/>
      <c r="PL28" s="137">
        <f t="shared" si="18"/>
        <v>42500</v>
      </c>
      <c r="PM28" s="9">
        <f t="shared" si="19"/>
        <v>1541825</v>
      </c>
      <c r="PN28" s="138">
        <f t="shared" si="20"/>
        <v>0.12205354738703597</v>
      </c>
      <c r="PO28" s="86">
        <f>IF(PI28="","",MAX(PI$15:PI28))</f>
        <v>1499325</v>
      </c>
      <c r="PP28" s="113">
        <f t="shared" si="11"/>
        <v>0</v>
      </c>
      <c r="PQ28" s="41"/>
      <c r="PR28" s="302"/>
    </row>
    <row r="29" spans="1:434" s="1" customFormat="1" ht="15" customHeight="1" x14ac:dyDescent="0.45">
      <c r="A29" s="18"/>
      <c r="B29" s="3"/>
      <c r="C29" s="4"/>
      <c r="D29" s="10"/>
      <c r="E29" s="10"/>
      <c r="F29" s="10"/>
      <c r="G29" s="4"/>
      <c r="H29" s="4"/>
      <c r="I29" s="4"/>
      <c r="J29" s="4"/>
      <c r="K29" s="4"/>
      <c r="L29" s="4"/>
      <c r="M29" s="4"/>
      <c r="N29" s="4"/>
      <c r="O29" s="10"/>
      <c r="P29" s="4"/>
      <c r="Q29" s="4"/>
      <c r="R29" s="4"/>
      <c r="S29" s="4"/>
      <c r="T29" s="4"/>
      <c r="U29" s="10"/>
      <c r="V29" s="10"/>
      <c r="W29" s="10"/>
      <c r="X29" s="4"/>
      <c r="Y29" s="18"/>
      <c r="Z29" s="4"/>
      <c r="AA29" s="77" t="str">
        <f t="shared" si="21"/>
        <v/>
      </c>
      <c r="AB29" s="8"/>
      <c r="AC29" s="2"/>
      <c r="AD29" s="6"/>
      <c r="AE29" s="4"/>
      <c r="AF29" s="4"/>
      <c r="AG29" s="4"/>
      <c r="AH29" s="4"/>
      <c r="AJ29" s="4"/>
      <c r="AK29" s="4"/>
      <c r="AL29" s="4"/>
      <c r="AM29" s="4"/>
      <c r="AO29" s="4"/>
      <c r="AP29" s="10"/>
      <c r="AQ29" s="4"/>
      <c r="AR29" s="4"/>
      <c r="AS29" s="4"/>
      <c r="AT29" s="4"/>
      <c r="AU29" s="4"/>
      <c r="AW29" s="4"/>
      <c r="AX29" s="4"/>
      <c r="AY29" s="4"/>
      <c r="AZ29" s="4"/>
      <c r="BA29" s="4"/>
      <c r="BB29" s="4"/>
      <c r="BC29" s="4"/>
      <c r="BD29" s="4"/>
      <c r="BE29" s="4"/>
      <c r="BF29" s="4"/>
      <c r="BH29" s="4"/>
      <c r="BI29" s="4"/>
      <c r="BJ29" s="4"/>
      <c r="BK29" s="4"/>
      <c r="BL29" s="4"/>
      <c r="BM29" s="4"/>
      <c r="BN29" s="4"/>
      <c r="BO29" s="4"/>
      <c r="BP29" s="4"/>
      <c r="BQ29" s="4"/>
      <c r="BS29" s="10"/>
      <c r="BT29" s="4"/>
      <c r="BU29" s="4"/>
      <c r="BV29" s="4"/>
      <c r="BW29" s="4"/>
      <c r="CA29" s="4"/>
      <c r="CB29" s="4"/>
      <c r="CC29" s="4"/>
      <c r="CD29" s="4"/>
      <c r="CE29" s="4"/>
      <c r="CF29" s="4"/>
      <c r="CG29" s="4"/>
      <c r="CH29" s="4"/>
      <c r="CI29" s="4"/>
      <c r="CJ29" s="10"/>
      <c r="CK29" s="4"/>
      <c r="CL29" s="10"/>
      <c r="CN29" s="4"/>
      <c r="CO29" s="10"/>
      <c r="CP29" s="4"/>
      <c r="CQ29" s="4"/>
      <c r="CR29" s="10"/>
      <c r="CS29" s="4"/>
      <c r="CT29" s="4"/>
      <c r="CU29" s="4"/>
      <c r="CV29" s="4"/>
      <c r="CW29" s="4"/>
      <c r="CX29" s="4"/>
      <c r="CY29" s="77" t="str">
        <f t="shared" si="12"/>
        <v/>
      </c>
      <c r="CZ29" s="8"/>
      <c r="DA29" s="2"/>
      <c r="DH29" s="4"/>
      <c r="DJ29" s="4"/>
      <c r="DX29" s="2"/>
      <c r="DY29" s="32"/>
      <c r="DZ29" s="4"/>
      <c r="EA29" s="32"/>
      <c r="EB29" s="32"/>
      <c r="EC29" s="32"/>
      <c r="ED29" s="32"/>
      <c r="EE29" s="4"/>
      <c r="EF29" s="4"/>
      <c r="EG29" s="32"/>
      <c r="EH29" s="32"/>
      <c r="EI29" s="32"/>
      <c r="EJ29" s="32"/>
      <c r="EK29" s="5"/>
      <c r="EO29" s="2"/>
      <c r="EQ29" s="468" t="s">
        <v>1</v>
      </c>
      <c r="ER29"/>
      <c r="ES29" s="6"/>
      <c r="ET29" s="10"/>
      <c r="EU29" s="10"/>
      <c r="EV29" s="10"/>
      <c r="EW29" s="10"/>
      <c r="EX29" s="4"/>
      <c r="EY29" s="4"/>
      <c r="EZ29" s="4"/>
      <c r="FA29" s="4"/>
      <c r="FB29" s="4"/>
      <c r="FC29" s="4"/>
      <c r="FD29" s="4"/>
      <c r="FE29" s="4"/>
      <c r="FF29" s="4"/>
      <c r="FG29" s="4"/>
      <c r="FH29" s="10"/>
      <c r="FI29" s="10"/>
      <c r="FJ29" s="10"/>
      <c r="FK29" s="10"/>
      <c r="FL29" s="10"/>
      <c r="FM29" s="10"/>
      <c r="FN29" s="4"/>
      <c r="FO29" s="4"/>
      <c r="FP29" s="10"/>
      <c r="FQ29" s="4"/>
      <c r="FR29" s="4"/>
      <c r="FS29" s="10"/>
      <c r="FT29" s="4"/>
      <c r="FU29" s="4"/>
      <c r="FV29" s="4"/>
      <c r="FW29" s="4"/>
      <c r="FX29" s="4"/>
      <c r="FY29" s="4"/>
      <c r="FZ29" s="10"/>
      <c r="GA29" s="10"/>
      <c r="GB29" s="10"/>
      <c r="GC29" s="10"/>
      <c r="GD29" s="4"/>
      <c r="GE29" s="4"/>
      <c r="GF29" s="4"/>
      <c r="GG29" s="4"/>
      <c r="GH29" s="4"/>
      <c r="GI29" s="4"/>
      <c r="GJ29" s="4"/>
      <c r="GK29" s="4"/>
      <c r="GL29" s="4"/>
      <c r="GM29" s="4"/>
      <c r="GN29" s="10"/>
      <c r="GO29" s="10"/>
      <c r="GP29" s="4"/>
      <c r="GQ29" s="10"/>
      <c r="GR29" s="4"/>
      <c r="GS29" s="10"/>
      <c r="GT29" s="4"/>
      <c r="GU29" s="10"/>
      <c r="GV29" s="4"/>
      <c r="GW29" s="10"/>
      <c r="GX29" s="10"/>
      <c r="GY29" s="10"/>
      <c r="GZ29" s="10"/>
      <c r="HA29" s="18">
        <v>43108</v>
      </c>
      <c r="HB29" s="4">
        <v>115.05</v>
      </c>
      <c r="HC29" s="77" t="str">
        <f t="shared" si="22"/>
        <v/>
      </c>
      <c r="HD29" s="8"/>
      <c r="HE29" s="2"/>
      <c r="HF29" s="3"/>
      <c r="HG29" s="4"/>
      <c r="HH29" s="4"/>
      <c r="HI29" s="4"/>
      <c r="HJ29" s="4"/>
      <c r="HK29" s="4"/>
      <c r="HL29" s="4"/>
      <c r="HM29" s="4"/>
      <c r="HN29" s="4"/>
      <c r="HO29" s="4"/>
      <c r="HP29" s="4"/>
      <c r="HQ29" s="4"/>
      <c r="HR29" s="4"/>
      <c r="HS29" s="4"/>
      <c r="HT29" s="10"/>
      <c r="HU29" s="10"/>
      <c r="HV29" s="4"/>
      <c r="HW29" s="4"/>
      <c r="HX29" s="4"/>
      <c r="HY29" s="4"/>
      <c r="HZ29" s="4"/>
      <c r="IA29" s="4"/>
      <c r="IB29" s="4"/>
      <c r="IC29" s="4"/>
      <c r="ID29" s="10"/>
      <c r="IE29" s="4"/>
      <c r="IF29" s="10"/>
      <c r="IG29" s="4"/>
      <c r="IH29" s="4"/>
      <c r="II29" s="4"/>
      <c r="IJ29" s="4"/>
      <c r="IK29" s="4"/>
      <c r="IL29" s="4"/>
      <c r="IM29" s="4"/>
      <c r="IN29" s="4"/>
      <c r="IO29" s="4"/>
      <c r="IP29" s="4"/>
      <c r="IQ29" s="4"/>
      <c r="IR29" s="4"/>
      <c r="IS29" s="4"/>
      <c r="IT29" s="10"/>
      <c r="IU29" s="4"/>
      <c r="IV29" s="4"/>
      <c r="IW29" s="4"/>
      <c r="IX29" s="10"/>
      <c r="IY29" s="4"/>
      <c r="IZ29" s="4"/>
      <c r="JA29" s="4"/>
      <c r="JB29" s="4"/>
      <c r="JC29" s="4"/>
      <c r="JD29" s="4"/>
      <c r="JE29" s="4"/>
      <c r="JF29" s="10"/>
      <c r="JG29" s="10"/>
      <c r="JH29" s="10"/>
      <c r="JI29" s="4"/>
      <c r="JJ29" s="4"/>
      <c r="JK29" s="4"/>
      <c r="JL29" s="4"/>
      <c r="JM29" s="4"/>
      <c r="JN29" s="10"/>
      <c r="JO29" s="10"/>
      <c r="JP29" s="4"/>
      <c r="JQ29" s="4"/>
      <c r="JR29" s="4"/>
      <c r="JS29" s="4"/>
      <c r="JT29" s="4"/>
      <c r="JU29" s="10"/>
      <c r="JV29" s="4"/>
      <c r="JW29" s="4"/>
      <c r="JX29" s="4"/>
      <c r="JY29" s="4"/>
      <c r="JZ29" s="4"/>
      <c r="KA29" s="4"/>
      <c r="KB29" s="4"/>
      <c r="KC29" s="4"/>
      <c r="KD29" s="10"/>
      <c r="KE29" s="10"/>
      <c r="KF29" s="10"/>
      <c r="KG29" s="4"/>
      <c r="KH29" s="10"/>
      <c r="KI29" s="10"/>
      <c r="KJ29" s="10"/>
      <c r="KK29" s="10"/>
      <c r="KL29" s="4"/>
      <c r="KM29" s="10"/>
      <c r="KN29" s="4"/>
      <c r="KO29" s="4"/>
      <c r="KP29" s="4"/>
      <c r="KQ29" s="4"/>
      <c r="KR29" s="10"/>
      <c r="KS29" s="4"/>
      <c r="KT29" s="4"/>
      <c r="KU29" s="4"/>
      <c r="KV29" s="4"/>
      <c r="KW29" s="4"/>
      <c r="KX29" s="18"/>
      <c r="KY29" s="4"/>
      <c r="KZ29" s="77" t="str">
        <f t="shared" si="23"/>
        <v/>
      </c>
      <c r="LA29" s="8"/>
      <c r="LB29" s="2"/>
      <c r="LC29" s="43"/>
      <c r="MO29" s="172"/>
      <c r="NO29" s="77"/>
      <c r="NP29" s="63"/>
      <c r="NQ29"/>
      <c r="NR29" s="77" t="str">
        <f t="shared" si="24"/>
        <v/>
      </c>
      <c r="NS29" s="8" t="str">
        <f t="shared" si="4"/>
        <v/>
      </c>
      <c r="NT29" s="2"/>
      <c r="NU29" s="3"/>
      <c r="NV29" s="4"/>
      <c r="NW29" s="4"/>
      <c r="NX29" s="4"/>
      <c r="NY29" s="4"/>
      <c r="NZ29" s="4"/>
      <c r="OA29" s="4"/>
      <c r="OB29" s="4"/>
      <c r="OC29" s="4"/>
      <c r="OD29" s="4"/>
      <c r="OE29" s="77" t="str">
        <f t="shared" si="25"/>
        <v/>
      </c>
      <c r="OF29" s="8" t="str">
        <f t="shared" si="5"/>
        <v/>
      </c>
      <c r="OG29" s="2"/>
      <c r="OJ29" s="40"/>
      <c r="OK29" s="40"/>
      <c r="OL29" s="40"/>
      <c r="OM29" s="40"/>
      <c r="ON29" s="40"/>
      <c r="OO29" s="40"/>
      <c r="OQ29" s="40"/>
      <c r="OR29" s="77"/>
      <c r="OS29" s="35"/>
      <c r="OT29" s="37"/>
      <c r="OU29" s="126"/>
      <c r="OV29" s="71" t="str">
        <f t="shared" si="9"/>
        <v/>
      </c>
      <c r="OW29" s="139"/>
      <c r="OX29" s="139"/>
      <c r="OY29" s="132"/>
      <c r="OZ29" s="140"/>
      <c r="PA29" s="84" t="str">
        <f t="shared" si="15"/>
        <v/>
      </c>
      <c r="PB29" s="130"/>
      <c r="PC29" s="131"/>
      <c r="PD29" s="132"/>
      <c r="PE29" s="133"/>
      <c r="PF29" s="134"/>
      <c r="PG29" s="133"/>
      <c r="PH29" s="134"/>
      <c r="PI29" s="135"/>
      <c r="PJ29" s="136" t="str">
        <f t="shared" si="10"/>
        <v/>
      </c>
      <c r="PK29" s="123"/>
      <c r="PL29" s="137"/>
      <c r="PM29" s="9"/>
      <c r="PN29" s="138"/>
      <c r="PO29" s="86" t="str">
        <f>IF(PI29="","",MAX(PI$15:PI29))</f>
        <v/>
      </c>
      <c r="PP29" s="113" t="str">
        <f t="shared" si="11"/>
        <v/>
      </c>
      <c r="PQ29" s="41"/>
      <c r="PR29" s="302"/>
    </row>
    <row r="30" spans="1:434" s="1" customFormat="1" ht="15" customHeight="1" x14ac:dyDescent="0.45">
      <c r="A30" s="18">
        <v>43133</v>
      </c>
      <c r="B30" s="3" t="s">
        <v>295</v>
      </c>
      <c r="C30" s="4">
        <v>20052</v>
      </c>
      <c r="D30" s="10"/>
      <c r="E30" s="10"/>
      <c r="F30" s="10"/>
      <c r="G30" s="4"/>
      <c r="H30" s="4"/>
      <c r="I30" s="4">
        <v>20937</v>
      </c>
      <c r="J30" s="4">
        <v>15170</v>
      </c>
      <c r="K30" s="4"/>
      <c r="L30" s="4"/>
      <c r="M30" s="4"/>
      <c r="N30" s="4"/>
      <c r="O30" s="10"/>
      <c r="P30" s="4"/>
      <c r="Q30" s="4"/>
      <c r="R30" s="4">
        <v>31003</v>
      </c>
      <c r="S30" s="4"/>
      <c r="T30" s="4"/>
      <c r="U30" s="10">
        <v>51883</v>
      </c>
      <c r="V30" s="10"/>
      <c r="W30" s="10"/>
      <c r="X30" s="4"/>
      <c r="Y30" s="18"/>
      <c r="Z30" s="4"/>
      <c r="AA30" s="77" t="e">
        <f t="shared" si="21"/>
        <v>#DIV/0!</v>
      </c>
      <c r="AB30" s="8">
        <f t="shared" ref="AB30:AB61" si="27">IF(A30="","",SUM(C30:X30))</f>
        <v>139045</v>
      </c>
      <c r="AC30" s="2"/>
      <c r="AD30" s="3" t="s">
        <v>295</v>
      </c>
      <c r="AE30" s="4">
        <v>43131</v>
      </c>
      <c r="AF30" s="4">
        <v>320562</v>
      </c>
      <c r="AG30" s="4"/>
      <c r="AH30" s="4"/>
      <c r="AJ30" s="4"/>
      <c r="AK30" s="4"/>
      <c r="AL30" s="4"/>
      <c r="AM30" s="4"/>
      <c r="AO30" s="4"/>
      <c r="AP30" s="10"/>
      <c r="AQ30" s="4"/>
      <c r="AR30" s="4"/>
      <c r="AS30" s="4"/>
      <c r="AT30" s="4"/>
      <c r="AU30" s="4"/>
      <c r="AW30" s="4"/>
      <c r="AX30" s="4">
        <v>12121</v>
      </c>
      <c r="AY30" s="4"/>
      <c r="AZ30" s="4"/>
      <c r="BA30" s="4">
        <v>23802</v>
      </c>
      <c r="BB30" s="4"/>
      <c r="BC30" s="4"/>
      <c r="BD30" s="4"/>
      <c r="BE30" s="4"/>
      <c r="BF30" s="4"/>
      <c r="BH30" s="4">
        <v>36372</v>
      </c>
      <c r="BI30" s="4"/>
      <c r="BJ30" s="4"/>
      <c r="BK30" s="4"/>
      <c r="BL30" s="4"/>
      <c r="BM30" s="4">
        <v>19541</v>
      </c>
      <c r="BN30" s="4">
        <v>19768</v>
      </c>
      <c r="BO30" s="4"/>
      <c r="BP30" s="4"/>
      <c r="BQ30" s="4"/>
      <c r="BS30" s="10"/>
      <c r="BT30" s="4"/>
      <c r="BU30" s="4"/>
      <c r="BV30" s="4"/>
      <c r="BW30" s="4"/>
      <c r="CA30" s="4">
        <v>94869</v>
      </c>
      <c r="CB30" s="4"/>
      <c r="CC30" s="4">
        <v>17831</v>
      </c>
      <c r="CD30" s="4"/>
      <c r="CE30" s="4"/>
      <c r="CF30" s="4"/>
      <c r="CG30" s="4"/>
      <c r="CH30" s="4"/>
      <c r="CI30" s="4"/>
      <c r="CJ30" s="10"/>
      <c r="CK30" s="4"/>
      <c r="CL30" s="10"/>
      <c r="CN30" s="4"/>
      <c r="CO30" s="10"/>
      <c r="CP30" s="4"/>
      <c r="CQ30" s="4">
        <v>13148</v>
      </c>
      <c r="CR30" s="10"/>
      <c r="CS30" s="4"/>
      <c r="CT30" s="4"/>
      <c r="CU30" s="4"/>
      <c r="CV30" s="4"/>
      <c r="CW30" s="4"/>
      <c r="CX30" s="4"/>
      <c r="CY30" s="77" t="e">
        <f t="shared" si="12"/>
        <v>#DIV/0!</v>
      </c>
      <c r="CZ30" s="8">
        <f t="shared" ref="CZ30:CZ61" si="28">IF(A30="","",SUM(AE30:CX30))</f>
        <v>601145</v>
      </c>
      <c r="DA30" s="2"/>
      <c r="DH30" s="4"/>
      <c r="DJ30" s="4"/>
      <c r="DX30" s="2"/>
      <c r="DY30" s="32"/>
      <c r="DZ30" s="4">
        <v>5</v>
      </c>
      <c r="EA30" s="32"/>
      <c r="EB30" s="32"/>
      <c r="EC30" s="32"/>
      <c r="ED30" s="32"/>
      <c r="EE30" s="4"/>
      <c r="EF30" s="4"/>
      <c r="EG30" s="32"/>
      <c r="EH30" s="32"/>
      <c r="EI30" s="32"/>
      <c r="EJ30" s="32"/>
      <c r="EK30" s="5"/>
      <c r="EO30" s="2"/>
      <c r="EQ30" s="468" t="s">
        <v>1</v>
      </c>
      <c r="ER30"/>
      <c r="ES30" s="6" t="s">
        <v>311</v>
      </c>
      <c r="ET30" s="10"/>
      <c r="EU30" s="10"/>
      <c r="EV30" s="10"/>
      <c r="EW30" s="10"/>
      <c r="EX30" s="4">
        <f>2980+7252</f>
        <v>10232</v>
      </c>
      <c r="EY30" s="4">
        <v>20134</v>
      </c>
      <c r="EZ30" s="4">
        <v>15183</v>
      </c>
      <c r="FA30" s="4">
        <v>20613</v>
      </c>
      <c r="FB30" s="4"/>
      <c r="FC30" s="4"/>
      <c r="FD30" s="4"/>
      <c r="FE30" s="4"/>
      <c r="FF30" s="4"/>
      <c r="FG30" s="4"/>
      <c r="FH30" s="10">
        <v>16680</v>
      </c>
      <c r="FI30" s="10">
        <v>19375</v>
      </c>
      <c r="FJ30" s="10"/>
      <c r="FK30" s="10"/>
      <c r="FL30" s="10"/>
      <c r="FM30" s="10">
        <v>24186</v>
      </c>
      <c r="FN30" s="4"/>
      <c r="FO30" s="4"/>
      <c r="FP30" s="10">
        <v>20946</v>
      </c>
      <c r="FQ30" s="4"/>
      <c r="FR30" s="4"/>
      <c r="FS30" s="10">
        <v>21019</v>
      </c>
      <c r="FT30" s="4">
        <v>20937</v>
      </c>
      <c r="FU30" s="4">
        <v>15170</v>
      </c>
      <c r="FV30" s="4"/>
      <c r="FW30" s="4"/>
      <c r="FX30" s="4"/>
      <c r="FY30" s="4"/>
      <c r="FZ30" s="10">
        <v>23369</v>
      </c>
      <c r="GA30" s="10">
        <v>24210</v>
      </c>
      <c r="GB30" s="10"/>
      <c r="GC30" s="10"/>
      <c r="GD30" s="4"/>
      <c r="GE30" s="4"/>
      <c r="GF30" s="4">
        <v>18071</v>
      </c>
      <c r="GG30" s="4"/>
      <c r="GH30" s="4"/>
      <c r="GI30" s="4"/>
      <c r="GJ30" s="4"/>
      <c r="GK30" s="4"/>
      <c r="GL30" s="4"/>
      <c r="GM30" s="4">
        <v>16800</v>
      </c>
      <c r="GN30" s="10">
        <v>18192</v>
      </c>
      <c r="GO30" s="10">
        <v>21697</v>
      </c>
      <c r="GP30" s="4"/>
      <c r="GQ30" s="10"/>
      <c r="GR30" s="4">
        <v>23167</v>
      </c>
      <c r="GS30" s="10"/>
      <c r="GT30" s="4"/>
      <c r="GU30" s="10"/>
      <c r="GV30" s="4"/>
      <c r="GW30" s="10"/>
      <c r="GX30" s="10">
        <v>21720</v>
      </c>
      <c r="GY30" s="10"/>
      <c r="GZ30" s="10"/>
      <c r="HA30" s="18">
        <v>43132</v>
      </c>
      <c r="HB30" s="4">
        <v>3750</v>
      </c>
      <c r="HC30" s="77" t="e">
        <f t="shared" si="22"/>
        <v>#DIV/0!</v>
      </c>
      <c r="HD30" s="8">
        <f t="shared" ref="HD30:HD61" si="29">IF(A30="","",SUM(ET30:GZ30))</f>
        <v>371701</v>
      </c>
      <c r="HE30" s="2"/>
      <c r="HF30" s="3" t="s">
        <v>312</v>
      </c>
      <c r="HG30" s="4">
        <v>6496</v>
      </c>
      <c r="HH30" s="4"/>
      <c r="HI30" s="4"/>
      <c r="HJ30" s="4"/>
      <c r="HK30" s="4"/>
      <c r="HL30" s="4"/>
      <c r="HM30" s="4"/>
      <c r="HN30" s="4"/>
      <c r="HO30" s="4"/>
      <c r="HP30" s="4">
        <v>18620</v>
      </c>
      <c r="HQ30" s="4"/>
      <c r="HR30" s="4"/>
      <c r="HS30" s="4"/>
      <c r="HT30" s="10">
        <v>17073</v>
      </c>
      <c r="HU30" s="10"/>
      <c r="HV30" s="4"/>
      <c r="HW30" s="4"/>
      <c r="HX30" s="4"/>
      <c r="HY30" s="4"/>
      <c r="HZ30" s="4"/>
      <c r="IA30" s="4"/>
      <c r="IB30" s="4"/>
      <c r="IC30" s="4">
        <v>18127</v>
      </c>
      <c r="ID30" s="10">
        <v>19336</v>
      </c>
      <c r="IE30" s="4"/>
      <c r="IF30" s="10"/>
      <c r="IG30" s="4"/>
      <c r="IH30" s="4"/>
      <c r="II30" s="4"/>
      <c r="IJ30" s="4"/>
      <c r="IK30" s="4"/>
      <c r="IL30" s="4"/>
      <c r="IM30" s="4"/>
      <c r="IN30" s="4"/>
      <c r="IO30" s="4"/>
      <c r="IP30" s="4"/>
      <c r="IQ30" s="4"/>
      <c r="IR30" s="4">
        <v>19541</v>
      </c>
      <c r="IS30" s="4">
        <v>19768</v>
      </c>
      <c r="IT30" s="10">
        <v>23825</v>
      </c>
      <c r="IU30" s="4">
        <v>22703</v>
      </c>
      <c r="IV30" s="4"/>
      <c r="IW30" s="4"/>
      <c r="IX30" s="10">
        <v>23374</v>
      </c>
      <c r="IY30" s="4"/>
      <c r="IZ30" s="4"/>
      <c r="JA30" s="4"/>
      <c r="JB30" s="4"/>
      <c r="JC30" s="4"/>
      <c r="JD30" s="4"/>
      <c r="JE30" s="4"/>
      <c r="JF30" s="10"/>
      <c r="JG30" s="10"/>
      <c r="JH30" s="10"/>
      <c r="JI30" s="4"/>
      <c r="JJ30" s="4"/>
      <c r="JK30" s="4"/>
      <c r="JL30" s="4">
        <v>17958</v>
      </c>
      <c r="JM30" s="4"/>
      <c r="JN30" s="10"/>
      <c r="JO30" s="10">
        <v>18715</v>
      </c>
      <c r="JP30" s="4"/>
      <c r="JQ30" s="4"/>
      <c r="JR30" s="4"/>
      <c r="JS30" s="4"/>
      <c r="JT30" s="4"/>
      <c r="JU30" s="10"/>
      <c r="JV30" s="4"/>
      <c r="JW30" s="4"/>
      <c r="JX30" s="4"/>
      <c r="JY30" s="4"/>
      <c r="JZ30" s="4"/>
      <c r="KA30" s="4"/>
      <c r="KB30" s="4"/>
      <c r="KC30" s="4"/>
      <c r="KD30" s="10">
        <v>17745</v>
      </c>
      <c r="KE30" s="10">
        <v>23314</v>
      </c>
      <c r="KF30" s="10">
        <v>15553</v>
      </c>
      <c r="KG30" s="4"/>
      <c r="KH30" s="10">
        <v>18448</v>
      </c>
      <c r="KI30" s="10"/>
      <c r="KJ30" s="10">
        <v>15548</v>
      </c>
      <c r="KK30" s="10"/>
      <c r="KL30" s="4">
        <v>13148</v>
      </c>
      <c r="KM30" s="10">
        <v>19151</v>
      </c>
      <c r="KN30" s="4"/>
      <c r="KO30" s="4"/>
      <c r="KP30" s="4"/>
      <c r="KQ30" s="4"/>
      <c r="KR30" s="10"/>
      <c r="KS30" s="4"/>
      <c r="KT30" s="4"/>
      <c r="KU30" s="4"/>
      <c r="KV30" s="4"/>
      <c r="KW30" s="4"/>
      <c r="KX30" s="18">
        <v>43108</v>
      </c>
      <c r="KY30" s="4">
        <v>138.82</v>
      </c>
      <c r="KZ30" s="77" t="e">
        <f t="shared" si="23"/>
        <v>#DIV/0!</v>
      </c>
      <c r="LA30" s="8">
        <f t="shared" ref="LA30:LA61" si="30">IF(A30="","",SUM(HG30:KW30))</f>
        <v>348443</v>
      </c>
      <c r="LB30" s="2"/>
      <c r="LC30" s="43"/>
      <c r="MO30" s="172"/>
      <c r="NO30" s="77"/>
      <c r="NP30" s="63"/>
      <c r="NQ30"/>
      <c r="NR30" s="77" t="e">
        <f t="shared" si="24"/>
        <v>#VALUE!</v>
      </c>
      <c r="NS30" s="8">
        <f t="shared" si="4"/>
        <v>0</v>
      </c>
      <c r="NT30" s="2"/>
      <c r="NU30" s="3" t="s">
        <v>313</v>
      </c>
      <c r="NV30" s="4">
        <v>5</v>
      </c>
      <c r="NW30" s="4"/>
      <c r="NX30" s="4">
        <v>31262</v>
      </c>
      <c r="NY30" s="4"/>
      <c r="NZ30" s="4"/>
      <c r="OA30" s="4"/>
      <c r="OB30" s="4"/>
      <c r="OC30" s="4"/>
      <c r="OD30" s="4"/>
      <c r="OE30" s="77" t="e">
        <f t="shared" si="25"/>
        <v>#VALUE!</v>
      </c>
      <c r="OF30" s="8">
        <f t="shared" si="5"/>
        <v>31267</v>
      </c>
      <c r="OG30" s="2"/>
      <c r="OJ30" s="40"/>
      <c r="OK30" s="40"/>
      <c r="OL30" s="40"/>
      <c r="OM30" s="40"/>
      <c r="ON30" s="40"/>
      <c r="OO30" s="40"/>
      <c r="OQ30" s="40"/>
      <c r="OR30" s="77"/>
      <c r="OS30" s="35"/>
      <c r="OT30" s="37"/>
      <c r="OU30" s="126">
        <f t="shared" ref="OU30:OU57" si="31">IF(A30="","",AB30+CZ30+OF30)</f>
        <v>771457</v>
      </c>
      <c r="OV30" s="71" t="e">
        <f t="shared" si="9"/>
        <v>#DIV/0!</v>
      </c>
      <c r="OW30" s="139">
        <f>IF(A30="","",SUM(Z$17:Z30))</f>
        <v>20000</v>
      </c>
      <c r="OX30" s="139">
        <f t="shared" ref="OX30:OX61" si="32">IF(A30="","",AB30+CZ30+OF30+OW30)</f>
        <v>791457</v>
      </c>
      <c r="OY30" s="132">
        <f t="shared" ref="OY30:OY61" si="33">IF(A30="","",(OX30-OX$16)/OX$16)</f>
        <v>0.10912163724496875</v>
      </c>
      <c r="OZ30" s="140">
        <f t="shared" ref="OZ30:OZ76" si="34">IF(A30="","",HD30+LA30)</f>
        <v>720144</v>
      </c>
      <c r="PA30" s="84" t="e">
        <f t="shared" si="15"/>
        <v>#DIV/0!</v>
      </c>
      <c r="PB30" s="130">
        <f>IF(A30="","",SUM(HB$17:HB30)+SUM(KY$17:KY30))</f>
        <v>26503.87</v>
      </c>
      <c r="PC30" s="131">
        <f t="shared" ref="PC30:PC61" si="35">IF(A30="","",HD30+LA30+PB30)</f>
        <v>746647.87</v>
      </c>
      <c r="PD30" s="132">
        <f t="shared" ref="PD30:PD61" si="36">IF(A30="","",(PC30-PC$16)/PC$16)</f>
        <v>0.13039232666334605</v>
      </c>
      <c r="PE30" s="133"/>
      <c r="PF30" s="134"/>
      <c r="PG30" s="133"/>
      <c r="PH30" s="134"/>
      <c r="PI30" s="135">
        <f t="shared" ref="PI30:PI61" si="37">IF(A30="","",OU30+OZ30)</f>
        <v>1491601</v>
      </c>
      <c r="PJ30" s="136" t="e">
        <f t="shared" si="10"/>
        <v>#DIV/0!</v>
      </c>
      <c r="PK30" s="123"/>
      <c r="PL30" s="137">
        <f t="shared" ref="PL30:PL61" si="38">IF(A30="","",OW30+PB30)</f>
        <v>46503.869999999995</v>
      </c>
      <c r="PM30" s="9">
        <f t="shared" ref="PM30:PM61" si="39">IF(A30="","",OX30+PC30)</f>
        <v>1538104.87</v>
      </c>
      <c r="PN30" s="138">
        <f t="shared" ref="PN30:PN61" si="40">IF(A30="","",(PM30-PM$16)/PM$16)</f>
        <v>0.11934624593373173</v>
      </c>
      <c r="PO30" s="86">
        <f>IF(PI30="","",MAX(PI$15:PI30))</f>
        <v>1499325</v>
      </c>
      <c r="PP30" s="113">
        <f t="shared" si="11"/>
        <v>-5.1783285208309732E-3</v>
      </c>
      <c r="PQ30" s="41"/>
      <c r="PR30" s="302"/>
    </row>
    <row r="31" spans="1:434" s="1" customFormat="1" ht="15" customHeight="1" x14ac:dyDescent="0.45">
      <c r="A31" s="18">
        <v>43161</v>
      </c>
      <c r="B31" s="3" t="s">
        <v>295</v>
      </c>
      <c r="C31" s="4">
        <v>20181</v>
      </c>
      <c r="D31" s="10"/>
      <c r="E31" s="10"/>
      <c r="F31" s="10"/>
      <c r="G31" s="4"/>
      <c r="H31" s="4"/>
      <c r="I31" s="4">
        <v>19626</v>
      </c>
      <c r="J31" s="4">
        <v>14535</v>
      </c>
      <c r="K31" s="4"/>
      <c r="L31" s="4"/>
      <c r="M31" s="4"/>
      <c r="N31" s="4"/>
      <c r="O31" s="10"/>
      <c r="P31" s="4"/>
      <c r="Q31" s="4"/>
      <c r="R31" s="4">
        <v>29811</v>
      </c>
      <c r="S31" s="4"/>
      <c r="T31" s="4"/>
      <c r="U31" s="10">
        <v>51656</v>
      </c>
      <c r="V31" s="10"/>
      <c r="W31" s="10"/>
      <c r="X31" s="4"/>
      <c r="Y31" s="18"/>
      <c r="Z31" s="4"/>
      <c r="AA31" s="77">
        <f t="shared" si="21"/>
        <v>-2.3273041101801575E-2</v>
      </c>
      <c r="AB31" s="8">
        <f t="shared" si="27"/>
        <v>135809</v>
      </c>
      <c r="AC31" s="2"/>
      <c r="AD31" s="3" t="s">
        <v>295</v>
      </c>
      <c r="AE31" s="4">
        <v>44305</v>
      </c>
      <c r="AF31" s="4">
        <v>318069</v>
      </c>
      <c r="AG31" s="4"/>
      <c r="AH31" s="4"/>
      <c r="AJ31" s="4"/>
      <c r="AK31" s="4"/>
      <c r="AL31" s="4"/>
      <c r="AM31" s="4"/>
      <c r="AO31" s="4"/>
      <c r="AP31" s="10"/>
      <c r="AQ31" s="4"/>
      <c r="AR31" s="4"/>
      <c r="AS31" s="4"/>
      <c r="AT31" s="4"/>
      <c r="AU31" s="4"/>
      <c r="AW31" s="4"/>
      <c r="AX31" s="4">
        <v>11841</v>
      </c>
      <c r="AY31" s="4"/>
      <c r="AZ31" s="4"/>
      <c r="BA31" s="4">
        <v>23644</v>
      </c>
      <c r="BB31" s="4"/>
      <c r="BC31" s="4"/>
      <c r="BD31" s="4"/>
      <c r="BE31" s="4"/>
      <c r="BF31" s="4"/>
      <c r="BH31" s="4">
        <v>36185</v>
      </c>
      <c r="BI31" s="4"/>
      <c r="BJ31" s="4"/>
      <c r="BK31" s="4"/>
      <c r="BL31" s="4"/>
      <c r="BM31" s="4">
        <v>18784</v>
      </c>
      <c r="BN31" s="4">
        <v>19168</v>
      </c>
      <c r="BO31" s="4"/>
      <c r="BP31" s="4"/>
      <c r="BQ31" s="4"/>
      <c r="BS31" s="10"/>
      <c r="BT31" s="4"/>
      <c r="BU31" s="4"/>
      <c r="BV31" s="4"/>
      <c r="BW31" s="4"/>
      <c r="CA31" s="4">
        <v>94418</v>
      </c>
      <c r="CB31" s="4"/>
      <c r="CC31" s="4">
        <v>17862</v>
      </c>
      <c r="CD31" s="4"/>
      <c r="CE31" s="4"/>
      <c r="CF31" s="4"/>
      <c r="CG31" s="4"/>
      <c r="CH31" s="4"/>
      <c r="CI31" s="4"/>
      <c r="CJ31" s="10"/>
      <c r="CK31" s="4"/>
      <c r="CL31" s="10"/>
      <c r="CN31" s="4"/>
      <c r="CO31" s="10"/>
      <c r="CP31" s="4"/>
      <c r="CQ31" s="4">
        <v>14678</v>
      </c>
      <c r="CR31" s="10"/>
      <c r="CS31" s="4"/>
      <c r="CT31" s="4"/>
      <c r="CU31" s="4">
        <v>19095</v>
      </c>
      <c r="CV31" s="4"/>
      <c r="CW31" s="4"/>
      <c r="CX31" s="4"/>
      <c r="CY31" s="77">
        <f t="shared" si="12"/>
        <v>2.8119671626645817E-2</v>
      </c>
      <c r="CZ31" s="8">
        <f t="shared" si="28"/>
        <v>618049</v>
      </c>
      <c r="DA31" s="2"/>
      <c r="DH31" s="4"/>
      <c r="DJ31" s="4"/>
      <c r="DX31" s="2"/>
      <c r="DY31" s="32"/>
      <c r="DZ31" s="4">
        <v>5</v>
      </c>
      <c r="EA31" s="32"/>
      <c r="EB31" s="32"/>
      <c r="EC31" s="32"/>
      <c r="ED31" s="32"/>
      <c r="EE31" s="4"/>
      <c r="EF31" s="4"/>
      <c r="EG31" s="32"/>
      <c r="EH31" s="32"/>
      <c r="EI31" s="32"/>
      <c r="EJ31" s="32"/>
      <c r="EK31" s="5"/>
      <c r="EO31" s="2"/>
      <c r="EQ31" s="468" t="s">
        <v>1</v>
      </c>
      <c r="ER31"/>
      <c r="ES31" s="6" t="s">
        <v>306</v>
      </c>
      <c r="ET31" s="10"/>
      <c r="EU31" s="10"/>
      <c r="EV31" s="10"/>
      <c r="EW31" s="10"/>
      <c r="EX31" s="4">
        <v>7250</v>
      </c>
      <c r="EY31" s="4">
        <v>21145</v>
      </c>
      <c r="EZ31" s="4">
        <v>14858</v>
      </c>
      <c r="FA31" s="4">
        <v>19528</v>
      </c>
      <c r="FB31" s="4"/>
      <c r="FC31" s="4"/>
      <c r="FD31" s="4"/>
      <c r="FE31" s="4"/>
      <c r="FF31" s="4"/>
      <c r="FG31" s="4"/>
      <c r="FH31" s="10">
        <v>17624</v>
      </c>
      <c r="FI31" s="10">
        <v>20320</v>
      </c>
      <c r="FJ31" s="10"/>
      <c r="FK31" s="10"/>
      <c r="FL31" s="10"/>
      <c r="FM31" s="10">
        <v>22752</v>
      </c>
      <c r="FN31" s="4"/>
      <c r="FO31" s="4"/>
      <c r="FP31" s="10">
        <v>19305</v>
      </c>
      <c r="FQ31" s="4"/>
      <c r="FR31" s="4"/>
      <c r="FS31" s="10">
        <v>19421</v>
      </c>
      <c r="FT31" s="4">
        <v>19626</v>
      </c>
      <c r="FU31" s="4">
        <v>14535</v>
      </c>
      <c r="FV31" s="4"/>
      <c r="FW31" s="4"/>
      <c r="FX31" s="4"/>
      <c r="FY31" s="4"/>
      <c r="FZ31" s="10">
        <v>19202</v>
      </c>
      <c r="GA31" s="10">
        <v>24503</v>
      </c>
      <c r="GB31" s="10"/>
      <c r="GC31" s="10"/>
      <c r="GD31" s="4"/>
      <c r="GE31" s="4"/>
      <c r="GF31" s="4">
        <v>17612</v>
      </c>
      <c r="GG31" s="4"/>
      <c r="GH31" s="4"/>
      <c r="GI31" s="4"/>
      <c r="GJ31" s="4"/>
      <c r="GK31" s="4"/>
      <c r="GL31" s="4"/>
      <c r="GM31" s="4">
        <v>17079</v>
      </c>
      <c r="GN31" s="10">
        <v>16005</v>
      </c>
      <c r="GO31" s="10">
        <v>20881</v>
      </c>
      <c r="GP31" s="4"/>
      <c r="GQ31" s="10"/>
      <c r="GR31" s="4">
        <v>22487</v>
      </c>
      <c r="GS31" s="10"/>
      <c r="GT31" s="4"/>
      <c r="GU31" s="10"/>
      <c r="GV31" s="4"/>
      <c r="GW31" s="10"/>
      <c r="GX31" s="10">
        <v>19304</v>
      </c>
      <c r="GY31" s="10"/>
      <c r="GZ31" s="10"/>
      <c r="HA31" s="18">
        <v>43160</v>
      </c>
      <c r="HB31" s="4">
        <v>3750</v>
      </c>
      <c r="HC31" s="77">
        <f t="shared" si="22"/>
        <v>-4.9136268129491179E-2</v>
      </c>
      <c r="HD31" s="8">
        <f t="shared" si="29"/>
        <v>353437</v>
      </c>
      <c r="HE31" s="2"/>
      <c r="HF31" s="3" t="s">
        <v>314</v>
      </c>
      <c r="HG31" s="4">
        <f>6651-472.96</f>
        <v>6178.04</v>
      </c>
      <c r="HH31" s="4"/>
      <c r="HI31" s="4"/>
      <c r="HJ31" s="4"/>
      <c r="HK31" s="4"/>
      <c r="HL31" s="4"/>
      <c r="HM31" s="4"/>
      <c r="HN31" s="4"/>
      <c r="HO31" s="4"/>
      <c r="HP31" s="4">
        <v>17408</v>
      </c>
      <c r="HQ31" s="4"/>
      <c r="HR31" s="4"/>
      <c r="HS31" s="4"/>
      <c r="HT31" s="10">
        <v>15735</v>
      </c>
      <c r="HU31" s="10"/>
      <c r="HV31" s="4"/>
      <c r="HW31" s="4"/>
      <c r="HX31" s="4"/>
      <c r="HY31" s="4"/>
      <c r="HZ31" s="4"/>
      <c r="IA31" s="4"/>
      <c r="IB31" s="4"/>
      <c r="IC31" s="4">
        <v>17752</v>
      </c>
      <c r="ID31" s="10">
        <v>18023</v>
      </c>
      <c r="IE31" s="4"/>
      <c r="IF31" s="10"/>
      <c r="IG31" s="4"/>
      <c r="IH31" s="4"/>
      <c r="II31" s="4"/>
      <c r="IJ31" s="4"/>
      <c r="IK31" s="4"/>
      <c r="IL31" s="4"/>
      <c r="IM31" s="4"/>
      <c r="IN31" s="4"/>
      <c r="IO31" s="4"/>
      <c r="IP31" s="4"/>
      <c r="IQ31" s="4"/>
      <c r="IR31" s="4">
        <v>18784</v>
      </c>
      <c r="IS31" s="4">
        <v>19168</v>
      </c>
      <c r="IT31" s="10">
        <v>24490</v>
      </c>
      <c r="IU31" s="4">
        <v>21696</v>
      </c>
      <c r="IV31" s="4"/>
      <c r="IW31" s="4"/>
      <c r="IX31" s="10">
        <v>22664</v>
      </c>
      <c r="IY31" s="4"/>
      <c r="IZ31" s="4"/>
      <c r="JA31" s="4"/>
      <c r="JB31" s="4"/>
      <c r="JC31" s="4"/>
      <c r="JD31" s="4"/>
      <c r="JE31" s="4"/>
      <c r="JF31" s="10"/>
      <c r="JG31" s="10"/>
      <c r="JH31" s="10"/>
      <c r="JI31" s="4"/>
      <c r="JJ31" s="4"/>
      <c r="JK31" s="4"/>
      <c r="JL31" s="4">
        <v>16308</v>
      </c>
      <c r="JM31" s="4"/>
      <c r="JN31" s="10"/>
      <c r="JO31" s="10"/>
      <c r="JP31" s="4"/>
      <c r="JQ31" s="4"/>
      <c r="JR31" s="4"/>
      <c r="JS31" s="4"/>
      <c r="JT31" s="4"/>
      <c r="JU31" s="10"/>
      <c r="JV31" s="4"/>
      <c r="JW31" s="4"/>
      <c r="JX31" s="4"/>
      <c r="JY31" s="4"/>
      <c r="JZ31" s="4"/>
      <c r="KA31" s="4"/>
      <c r="KB31" s="4"/>
      <c r="KC31" s="4"/>
      <c r="KD31" s="10">
        <v>16933</v>
      </c>
      <c r="KE31" s="10">
        <v>21813</v>
      </c>
      <c r="KF31" s="10">
        <v>13805</v>
      </c>
      <c r="KG31" s="4"/>
      <c r="KH31" s="10"/>
      <c r="KI31" s="10"/>
      <c r="KJ31" s="10">
        <v>17363</v>
      </c>
      <c r="KK31" s="10">
        <v>18440</v>
      </c>
      <c r="KL31" s="4">
        <v>14678</v>
      </c>
      <c r="KM31" s="10">
        <v>12760</v>
      </c>
      <c r="KN31" s="4"/>
      <c r="KO31" s="4"/>
      <c r="KP31" s="4">
        <v>19095</v>
      </c>
      <c r="KQ31" s="4"/>
      <c r="KR31" s="10"/>
      <c r="KS31" s="4"/>
      <c r="KT31" s="4"/>
      <c r="KU31" s="4"/>
      <c r="KV31" s="4"/>
      <c r="KW31" s="4"/>
      <c r="KX31" s="18"/>
      <c r="KY31" s="4"/>
      <c r="KZ31" s="77">
        <f t="shared" si="23"/>
        <v>-4.4053001495222927E-2</v>
      </c>
      <c r="LA31" s="8">
        <f t="shared" si="30"/>
        <v>333093.04000000004</v>
      </c>
      <c r="LB31" s="2"/>
      <c r="LC31" s="43"/>
      <c r="MO31" s="172"/>
      <c r="NO31" s="77"/>
      <c r="NP31" s="63"/>
      <c r="NQ31"/>
      <c r="NR31" s="77" t="e">
        <f t="shared" si="24"/>
        <v>#DIV/0!</v>
      </c>
      <c r="NS31" s="8">
        <f t="shared" si="4"/>
        <v>0</v>
      </c>
      <c r="NT31" s="2"/>
      <c r="NU31" s="3" t="s">
        <v>295</v>
      </c>
      <c r="NV31" s="4">
        <v>5</v>
      </c>
      <c r="NW31" s="4"/>
      <c r="NX31" s="4"/>
      <c r="NY31" s="4"/>
      <c r="NZ31" s="4"/>
      <c r="OA31" s="4"/>
      <c r="OB31" s="4"/>
      <c r="OC31" s="4">
        <v>28744</v>
      </c>
      <c r="OD31" s="4"/>
      <c r="OE31" s="77">
        <f t="shared" si="25"/>
        <v>-8.0532190488374331E-2</v>
      </c>
      <c r="OF31" s="8">
        <f t="shared" si="5"/>
        <v>28749</v>
      </c>
      <c r="OG31" s="2"/>
      <c r="OJ31" s="40"/>
      <c r="OK31" s="40"/>
      <c r="OL31" s="40"/>
      <c r="OM31" s="40"/>
      <c r="ON31" s="40"/>
      <c r="OO31" s="40"/>
      <c r="OQ31" s="40"/>
      <c r="OR31" s="77"/>
      <c r="OS31" s="35"/>
      <c r="OT31" s="37"/>
      <c r="OU31" s="126">
        <f t="shared" si="31"/>
        <v>782607</v>
      </c>
      <c r="OV31" s="71">
        <f t="shared" si="9"/>
        <v>1.4453171077584363E-2</v>
      </c>
      <c r="OW31" s="139">
        <f>IF(A31="","",SUM(Z$17:Z31))</f>
        <v>20000</v>
      </c>
      <c r="OX31" s="139">
        <f t="shared" si="32"/>
        <v>802607</v>
      </c>
      <c r="OY31" s="132">
        <f t="shared" si="33"/>
        <v>0.12474687810490352</v>
      </c>
      <c r="OZ31" s="140">
        <f t="shared" si="34"/>
        <v>686530.04</v>
      </c>
      <c r="PA31" s="84">
        <f t="shared" si="15"/>
        <v>-4.6676720211513201E-2</v>
      </c>
      <c r="PB31" s="130">
        <f>IF(A31="","",SUM(HB$17:HB31)+SUM(KY$17:KY31))</f>
        <v>30253.87</v>
      </c>
      <c r="PC31" s="131">
        <f t="shared" si="35"/>
        <v>716783.91</v>
      </c>
      <c r="PD31" s="132">
        <f t="shared" si="36"/>
        <v>8.5179593078796939E-2</v>
      </c>
      <c r="PE31" s="133"/>
      <c r="PF31" s="134"/>
      <c r="PG31" s="133"/>
      <c r="PH31" s="134"/>
      <c r="PI31" s="135">
        <f t="shared" si="37"/>
        <v>1469137.04</v>
      </c>
      <c r="PJ31" s="136">
        <f t="shared" si="10"/>
        <v>-1.5060300978612889E-2</v>
      </c>
      <c r="PK31" s="123"/>
      <c r="PL31" s="137">
        <f t="shared" si="38"/>
        <v>50253.869999999995</v>
      </c>
      <c r="PM31" s="9">
        <f t="shared" si="39"/>
        <v>1519390.9100000001</v>
      </c>
      <c r="PN31" s="138">
        <f t="shared" si="40"/>
        <v>0.10572727801995484</v>
      </c>
      <c r="PO31" s="86">
        <f>IF(PI31="","",MAX(PI$15:PI31))</f>
        <v>1499325</v>
      </c>
      <c r="PP31" s="113">
        <f t="shared" si="11"/>
        <v>-2.0548089918146752E-2</v>
      </c>
      <c r="PQ31" s="41"/>
      <c r="PR31" s="302"/>
    </row>
    <row r="32" spans="1:434" s="1" customFormat="1" ht="15" customHeight="1" x14ac:dyDescent="0.45">
      <c r="A32" s="18">
        <v>43193</v>
      </c>
      <c r="B32" s="3" t="s">
        <v>295</v>
      </c>
      <c r="C32" s="4">
        <v>20327</v>
      </c>
      <c r="D32" s="10"/>
      <c r="E32" s="10"/>
      <c r="F32" s="10"/>
      <c r="G32" s="4"/>
      <c r="H32" s="4"/>
      <c r="I32" s="4">
        <v>19599</v>
      </c>
      <c r="J32" s="4">
        <v>14475</v>
      </c>
      <c r="K32" s="4"/>
      <c r="L32" s="4"/>
      <c r="M32" s="4"/>
      <c r="N32" s="4"/>
      <c r="O32" s="10"/>
      <c r="P32" s="4"/>
      <c r="Q32" s="4"/>
      <c r="R32" s="4">
        <v>30081</v>
      </c>
      <c r="S32" s="4"/>
      <c r="T32" s="4"/>
      <c r="U32" s="10">
        <v>51656</v>
      </c>
      <c r="V32" s="10"/>
      <c r="W32" s="10"/>
      <c r="X32" s="4"/>
      <c r="Y32" s="18"/>
      <c r="Z32" s="4"/>
      <c r="AA32" s="77">
        <f t="shared" si="21"/>
        <v>2.4225198624538875E-3</v>
      </c>
      <c r="AB32" s="8">
        <f t="shared" si="27"/>
        <v>136138</v>
      </c>
      <c r="AC32" s="2"/>
      <c r="AD32" s="3" t="s">
        <v>295</v>
      </c>
      <c r="AE32" s="4">
        <v>45541</v>
      </c>
      <c r="AF32" s="4">
        <v>315901</v>
      </c>
      <c r="AG32" s="4"/>
      <c r="AH32" s="4"/>
      <c r="AJ32" s="4"/>
      <c r="AK32" s="4"/>
      <c r="AL32" s="4"/>
      <c r="AM32" s="4"/>
      <c r="AO32" s="4"/>
      <c r="AP32" s="10"/>
      <c r="AQ32" s="4"/>
      <c r="AR32" s="4"/>
      <c r="AS32" s="4"/>
      <c r="AT32" s="4"/>
      <c r="AU32" s="4"/>
      <c r="AW32" s="4"/>
      <c r="AX32" s="4">
        <v>11893</v>
      </c>
      <c r="AY32" s="4"/>
      <c r="AZ32" s="4"/>
      <c r="BA32" s="4">
        <v>23742</v>
      </c>
      <c r="BB32" s="4"/>
      <c r="BC32" s="4"/>
      <c r="BD32" s="4"/>
      <c r="BE32" s="4"/>
      <c r="BF32" s="4"/>
      <c r="BH32" s="4">
        <v>36373</v>
      </c>
      <c r="BI32" s="4"/>
      <c r="BJ32" s="4"/>
      <c r="BK32" s="4"/>
      <c r="BL32" s="4"/>
      <c r="BM32" s="4">
        <v>18570</v>
      </c>
      <c r="BN32" s="4">
        <v>19095</v>
      </c>
      <c r="BO32" s="4"/>
      <c r="BP32" s="4"/>
      <c r="BQ32" s="4"/>
      <c r="BS32" s="10"/>
      <c r="BT32" s="4"/>
      <c r="BU32" s="4"/>
      <c r="BV32" s="4"/>
      <c r="BW32" s="4"/>
      <c r="CA32" s="4">
        <v>94696</v>
      </c>
      <c r="CB32" s="4"/>
      <c r="CC32" s="4">
        <v>17909</v>
      </c>
      <c r="CD32" s="4"/>
      <c r="CE32" s="4"/>
      <c r="CF32" s="4"/>
      <c r="CG32" s="4"/>
      <c r="CH32" s="4"/>
      <c r="CI32" s="4"/>
      <c r="CJ32" s="10"/>
      <c r="CK32" s="4"/>
      <c r="CL32" s="10"/>
      <c r="CN32" s="4"/>
      <c r="CO32" s="10"/>
      <c r="CP32" s="4"/>
      <c r="CQ32" s="4">
        <v>15016</v>
      </c>
      <c r="CR32" s="10"/>
      <c r="CS32" s="4"/>
      <c r="CT32" s="4"/>
      <c r="CU32" s="4">
        <v>19335</v>
      </c>
      <c r="CV32" s="4"/>
      <c r="CW32" s="4"/>
      <c r="CX32" s="4"/>
      <c r="CY32" s="77">
        <f t="shared" si="12"/>
        <v>3.5595883174311421E-5</v>
      </c>
      <c r="CZ32" s="8">
        <f t="shared" si="28"/>
        <v>618071</v>
      </c>
      <c r="DA32" s="2"/>
      <c r="DH32" s="4"/>
      <c r="DJ32" s="4"/>
      <c r="DX32" s="2"/>
      <c r="DY32" s="32"/>
      <c r="DZ32" s="4">
        <v>5</v>
      </c>
      <c r="EA32" s="32"/>
      <c r="EB32" s="32"/>
      <c r="EC32" s="32"/>
      <c r="ED32" s="32"/>
      <c r="EE32" s="4"/>
      <c r="EF32" s="4"/>
      <c r="EG32" s="32"/>
      <c r="EH32" s="32"/>
      <c r="EI32" s="32"/>
      <c r="EJ32" s="32"/>
      <c r="EK32" s="5"/>
      <c r="EO32" s="2"/>
      <c r="EQ32" s="468" t="s">
        <v>1</v>
      </c>
      <c r="ER32"/>
      <c r="ES32" s="6" t="s">
        <v>315</v>
      </c>
      <c r="ET32" s="10"/>
      <c r="EU32" s="10"/>
      <c r="EV32" s="10"/>
      <c r="EW32" s="10"/>
      <c r="EX32" s="4">
        <v>7323</v>
      </c>
      <c r="EY32" s="4">
        <v>20207</v>
      </c>
      <c r="EZ32" s="4">
        <v>15714</v>
      </c>
      <c r="FA32" s="4">
        <v>18564</v>
      </c>
      <c r="FB32" s="4"/>
      <c r="FC32" s="4"/>
      <c r="FD32" s="4"/>
      <c r="FE32" s="4"/>
      <c r="FF32" s="4"/>
      <c r="FG32" s="4"/>
      <c r="FH32" s="10">
        <v>16552</v>
      </c>
      <c r="FI32" s="10">
        <v>20013</v>
      </c>
      <c r="FJ32" s="10"/>
      <c r="FK32" s="10"/>
      <c r="FL32" s="10"/>
      <c r="FM32" s="10">
        <v>21180</v>
      </c>
      <c r="FN32" s="4"/>
      <c r="FO32" s="4"/>
      <c r="FP32" s="10">
        <v>19283</v>
      </c>
      <c r="FQ32" s="4"/>
      <c r="FR32" s="4"/>
      <c r="FS32" s="10">
        <v>18241</v>
      </c>
      <c r="FT32" s="4">
        <v>19599</v>
      </c>
      <c r="FU32" s="4">
        <v>14475</v>
      </c>
      <c r="FV32" s="4"/>
      <c r="FW32" s="4"/>
      <c r="FX32" s="4"/>
      <c r="FY32" s="4"/>
      <c r="FZ32" s="10">
        <v>19226</v>
      </c>
      <c r="GA32" s="10">
        <v>20696</v>
      </c>
      <c r="GB32" s="10"/>
      <c r="GC32" s="10"/>
      <c r="GD32" s="4"/>
      <c r="GE32" s="4"/>
      <c r="GF32" s="4">
        <v>15712</v>
      </c>
      <c r="GG32" s="4"/>
      <c r="GH32" s="4"/>
      <c r="GI32" s="4"/>
      <c r="GJ32" s="4"/>
      <c r="GK32" s="4"/>
      <c r="GL32" s="4"/>
      <c r="GM32" s="4">
        <v>17400</v>
      </c>
      <c r="GN32" s="10">
        <v>15649</v>
      </c>
      <c r="GO32" s="10">
        <v>20804</v>
      </c>
      <c r="GP32" s="4"/>
      <c r="GQ32" s="10"/>
      <c r="GR32" s="4">
        <v>23517</v>
      </c>
      <c r="GS32" s="10"/>
      <c r="GT32" s="4"/>
      <c r="GU32" s="10"/>
      <c r="GV32" s="4"/>
      <c r="GW32" s="10"/>
      <c r="GX32" s="10">
        <v>19000</v>
      </c>
      <c r="GY32" s="10"/>
      <c r="GZ32" s="10"/>
      <c r="HA32" s="18">
        <v>43191</v>
      </c>
      <c r="HB32" s="4">
        <v>3750</v>
      </c>
      <c r="HC32" s="77">
        <f t="shared" si="22"/>
        <v>-2.9091464674043749E-2</v>
      </c>
      <c r="HD32" s="8">
        <f t="shared" si="29"/>
        <v>343155</v>
      </c>
      <c r="HE32" s="2"/>
      <c r="HF32" s="3" t="s">
        <v>316</v>
      </c>
      <c r="HG32" s="4">
        <v>7735</v>
      </c>
      <c r="HH32" s="4"/>
      <c r="HI32" s="4"/>
      <c r="HJ32" s="4"/>
      <c r="HK32" s="4"/>
      <c r="HL32" s="4"/>
      <c r="HM32" s="4"/>
      <c r="HN32" s="4"/>
      <c r="HO32" s="4"/>
      <c r="HP32" s="4">
        <v>16996</v>
      </c>
      <c r="HQ32" s="4"/>
      <c r="HR32" s="4"/>
      <c r="HS32" s="4"/>
      <c r="HT32" s="10">
        <v>14160</v>
      </c>
      <c r="HU32" s="10"/>
      <c r="HV32" s="4"/>
      <c r="HW32" s="4"/>
      <c r="HX32" s="4"/>
      <c r="HY32" s="4"/>
      <c r="HZ32" s="4"/>
      <c r="IA32" s="4"/>
      <c r="IB32" s="4"/>
      <c r="IC32" s="4">
        <v>17308</v>
      </c>
      <c r="ID32" s="10">
        <v>17399</v>
      </c>
      <c r="IE32" s="4"/>
      <c r="IF32" s="10"/>
      <c r="IG32" s="4"/>
      <c r="IH32" s="4"/>
      <c r="II32" s="4"/>
      <c r="IJ32" s="4"/>
      <c r="IK32" s="4"/>
      <c r="IL32" s="4"/>
      <c r="IM32" s="4"/>
      <c r="IN32" s="4"/>
      <c r="IO32" s="4"/>
      <c r="IP32" s="4"/>
      <c r="IQ32" s="4"/>
      <c r="IR32" s="4">
        <v>18570</v>
      </c>
      <c r="IS32" s="4">
        <v>19095</v>
      </c>
      <c r="IT32" s="10">
        <v>24875</v>
      </c>
      <c r="IU32" s="4"/>
      <c r="IV32" s="4"/>
      <c r="IW32" s="4"/>
      <c r="IX32" s="10">
        <v>21866</v>
      </c>
      <c r="IY32" s="4"/>
      <c r="IZ32" s="4"/>
      <c r="JA32" s="4"/>
      <c r="JB32" s="4"/>
      <c r="JC32" s="4"/>
      <c r="JD32" s="4"/>
      <c r="JE32" s="4"/>
      <c r="JF32" s="10"/>
      <c r="JG32" s="10"/>
      <c r="JH32" s="10"/>
      <c r="JI32" s="4"/>
      <c r="JJ32" s="4"/>
      <c r="JK32" s="4"/>
      <c r="JL32" s="4">
        <v>16227</v>
      </c>
      <c r="JM32" s="4"/>
      <c r="JN32" s="10"/>
      <c r="JO32" s="10"/>
      <c r="JP32" s="4"/>
      <c r="JQ32" s="4"/>
      <c r="JR32" s="4"/>
      <c r="JS32" s="4"/>
      <c r="JT32" s="4"/>
      <c r="JU32" s="10"/>
      <c r="JV32" s="4"/>
      <c r="JW32" s="4"/>
      <c r="JX32" s="4"/>
      <c r="JY32" s="4"/>
      <c r="JZ32" s="4"/>
      <c r="KA32" s="4"/>
      <c r="KB32" s="4"/>
      <c r="KC32" s="4"/>
      <c r="KD32" s="10">
        <v>16207</v>
      </c>
      <c r="KE32" s="10">
        <v>21219</v>
      </c>
      <c r="KF32" s="10">
        <v>13902</v>
      </c>
      <c r="KG32" s="4"/>
      <c r="KH32" s="10"/>
      <c r="KI32" s="10"/>
      <c r="KJ32" s="10">
        <v>17125</v>
      </c>
      <c r="KK32" s="10">
        <v>18540</v>
      </c>
      <c r="KL32" s="4">
        <v>15016</v>
      </c>
      <c r="KM32" s="10">
        <v>13162</v>
      </c>
      <c r="KN32" s="4"/>
      <c r="KO32" s="4"/>
      <c r="KP32" s="4">
        <v>19335</v>
      </c>
      <c r="KQ32" s="4"/>
      <c r="KR32" s="10"/>
      <c r="KS32" s="4">
        <v>20498</v>
      </c>
      <c r="KT32" s="4"/>
      <c r="KU32" s="4"/>
      <c r="KV32" s="4"/>
      <c r="KW32" s="4"/>
      <c r="KX32" s="18"/>
      <c r="KY32" s="4"/>
      <c r="KZ32" s="77">
        <f t="shared" si="23"/>
        <v>-1.158246957066421E-2</v>
      </c>
      <c r="LA32" s="8">
        <f t="shared" si="30"/>
        <v>329235</v>
      </c>
      <c r="LB32" s="2"/>
      <c r="LC32" s="43"/>
      <c r="MO32" s="172"/>
      <c r="NO32" s="77"/>
      <c r="NP32" s="63"/>
      <c r="NQ32"/>
      <c r="NR32" s="77" t="e">
        <f t="shared" si="24"/>
        <v>#DIV/0!</v>
      </c>
      <c r="NS32" s="8">
        <f t="shared" si="4"/>
        <v>0</v>
      </c>
      <c r="NT32" s="2"/>
      <c r="NU32" s="3" t="s">
        <v>295</v>
      </c>
      <c r="NV32" s="4">
        <v>5</v>
      </c>
      <c r="NW32" s="4"/>
      <c r="NX32" s="4"/>
      <c r="NY32" s="4"/>
      <c r="NZ32" s="4"/>
      <c r="OA32" s="4"/>
      <c r="OB32" s="4"/>
      <c r="OC32" s="4">
        <v>28092</v>
      </c>
      <c r="OD32" s="4"/>
      <c r="OE32" s="77">
        <f t="shared" si="25"/>
        <v>-2.2679049706076732E-2</v>
      </c>
      <c r="OF32" s="8">
        <f t="shared" si="5"/>
        <v>28097</v>
      </c>
      <c r="OG32" s="2"/>
      <c r="OJ32" s="40"/>
      <c r="OK32" s="40"/>
      <c r="OL32" s="40"/>
      <c r="OM32" s="40"/>
      <c r="ON32" s="40"/>
      <c r="OO32" s="40"/>
      <c r="OQ32" s="40"/>
      <c r="OR32" s="77"/>
      <c r="OS32" s="35"/>
      <c r="OT32" s="37"/>
      <c r="OU32" s="126">
        <f t="shared" si="31"/>
        <v>782306</v>
      </c>
      <c r="OV32" s="71">
        <f t="shared" si="9"/>
        <v>-3.8461194443699072E-4</v>
      </c>
      <c r="OW32" s="139">
        <f>IF(A32="","",SUM(Z$17:Z32))</f>
        <v>20000</v>
      </c>
      <c r="OX32" s="139">
        <f t="shared" si="32"/>
        <v>802306</v>
      </c>
      <c r="OY32" s="132">
        <f t="shared" si="33"/>
        <v>0.12432506667002995</v>
      </c>
      <c r="OZ32" s="140">
        <f t="shared" si="34"/>
        <v>672390</v>
      </c>
      <c r="PA32" s="84">
        <f t="shared" si="15"/>
        <v>-2.0596389343720541E-2</v>
      </c>
      <c r="PB32" s="130">
        <f>IF(A32="","",SUM(HB$17:HB32)+SUM(KY$17:KY32))</f>
        <v>34003.870000000003</v>
      </c>
      <c r="PC32" s="131">
        <f t="shared" si="35"/>
        <v>706393.87</v>
      </c>
      <c r="PD32" s="132">
        <f t="shared" si="36"/>
        <v>6.9449525450364175E-2</v>
      </c>
      <c r="PE32" s="133"/>
      <c r="PF32" s="134"/>
      <c r="PG32" s="133"/>
      <c r="PH32" s="134"/>
      <c r="PI32" s="135">
        <f t="shared" si="37"/>
        <v>1454696</v>
      </c>
      <c r="PJ32" s="136">
        <f t="shared" si="10"/>
        <v>-9.8296071821863777E-3</v>
      </c>
      <c r="PK32" s="123"/>
      <c r="PL32" s="137">
        <f t="shared" si="38"/>
        <v>54003.87</v>
      </c>
      <c r="PM32" s="9">
        <f t="shared" si="39"/>
        <v>1508699.87</v>
      </c>
      <c r="PN32" s="138">
        <f t="shared" si="40"/>
        <v>9.7946940201294005E-2</v>
      </c>
      <c r="PO32" s="86">
        <f>IF(PI32="","",MAX(PI$15:PI32))</f>
        <v>1499325</v>
      </c>
      <c r="PP32" s="113">
        <f t="shared" si="11"/>
        <v>-3.0679262196362675E-2</v>
      </c>
      <c r="PQ32" s="41"/>
      <c r="PR32" s="302"/>
    </row>
    <row r="33" spans="1:434" s="1" customFormat="1" ht="15" customHeight="1" x14ac:dyDescent="0.45">
      <c r="A33" s="18"/>
      <c r="B33" s="3"/>
      <c r="C33" s="4"/>
      <c r="D33" s="10"/>
      <c r="E33" s="10"/>
      <c r="F33" s="10"/>
      <c r="G33" s="4"/>
      <c r="H33" s="4"/>
      <c r="I33" s="4"/>
      <c r="J33" s="4"/>
      <c r="K33" s="4"/>
      <c r="L33" s="4"/>
      <c r="M33" s="4"/>
      <c r="N33" s="4"/>
      <c r="O33" s="10"/>
      <c r="P33" s="4"/>
      <c r="Q33" s="4"/>
      <c r="R33" s="4"/>
      <c r="S33" s="4"/>
      <c r="T33" s="4"/>
      <c r="U33" s="10"/>
      <c r="V33" s="10"/>
      <c r="W33" s="10"/>
      <c r="X33" s="4"/>
      <c r="Y33" s="18"/>
      <c r="Z33" s="4"/>
      <c r="AA33" s="77" t="str">
        <f t="shared" si="21"/>
        <v/>
      </c>
      <c r="AB33" s="8" t="str">
        <f t="shared" si="27"/>
        <v/>
      </c>
      <c r="AC33" s="2"/>
      <c r="AD33" s="3"/>
      <c r="AE33" s="4"/>
      <c r="AF33" s="4"/>
      <c r="AG33" s="4"/>
      <c r="AH33" s="4"/>
      <c r="AJ33" s="4"/>
      <c r="AK33" s="4"/>
      <c r="AL33" s="4"/>
      <c r="AM33" s="4"/>
      <c r="AO33" s="4"/>
      <c r="AP33" s="10"/>
      <c r="AQ33" s="4"/>
      <c r="AR33" s="4"/>
      <c r="AS33" s="4"/>
      <c r="AT33" s="4"/>
      <c r="AU33" s="4"/>
      <c r="AW33" s="4"/>
      <c r="AX33" s="4"/>
      <c r="AY33" s="4"/>
      <c r="AZ33" s="4"/>
      <c r="BA33" s="4"/>
      <c r="BB33" s="4"/>
      <c r="BC33" s="4"/>
      <c r="BD33" s="4"/>
      <c r="BE33" s="4"/>
      <c r="BF33" s="4"/>
      <c r="BH33" s="4"/>
      <c r="BI33" s="4"/>
      <c r="BJ33" s="4"/>
      <c r="BK33" s="4"/>
      <c r="BL33" s="4"/>
      <c r="BM33" s="4"/>
      <c r="BN33" s="4"/>
      <c r="BO33" s="4"/>
      <c r="BP33" s="4"/>
      <c r="BQ33" s="4"/>
      <c r="BS33" s="10"/>
      <c r="BT33" s="4"/>
      <c r="BU33" s="4"/>
      <c r="BV33" s="4"/>
      <c r="BW33" s="4"/>
      <c r="CA33" s="4"/>
      <c r="CB33" s="4"/>
      <c r="CC33" s="4"/>
      <c r="CD33" s="4"/>
      <c r="CE33" s="4"/>
      <c r="CF33" s="4"/>
      <c r="CG33" s="4"/>
      <c r="CH33" s="4"/>
      <c r="CI33" s="4"/>
      <c r="CJ33" s="10"/>
      <c r="CK33" s="4"/>
      <c r="CL33" s="10"/>
      <c r="CN33" s="4"/>
      <c r="CO33" s="10"/>
      <c r="CP33" s="4"/>
      <c r="CQ33" s="4"/>
      <c r="CR33" s="10"/>
      <c r="CS33" s="4"/>
      <c r="CT33" s="4"/>
      <c r="CU33" s="4"/>
      <c r="CV33" s="4"/>
      <c r="CW33" s="4"/>
      <c r="CX33" s="4"/>
      <c r="CY33" s="77" t="str">
        <f t="shared" si="12"/>
        <v/>
      </c>
      <c r="CZ33" s="8" t="str">
        <f t="shared" si="28"/>
        <v/>
      </c>
      <c r="DA33" s="2"/>
      <c r="DH33" s="4"/>
      <c r="DJ33" s="4"/>
      <c r="DX33" s="2"/>
      <c r="DY33" s="32"/>
      <c r="DZ33" s="4"/>
      <c r="EA33" s="32"/>
      <c r="EB33" s="32"/>
      <c r="EC33" s="32"/>
      <c r="ED33" s="32"/>
      <c r="EE33" s="4"/>
      <c r="EF33" s="4"/>
      <c r="EG33" s="32"/>
      <c r="EH33" s="32"/>
      <c r="EI33" s="32"/>
      <c r="EJ33" s="32"/>
      <c r="EK33" s="5"/>
      <c r="EO33" s="2"/>
      <c r="EQ33" s="468" t="s">
        <v>1</v>
      </c>
      <c r="ER33"/>
      <c r="ES33" s="6"/>
      <c r="ET33" s="10"/>
      <c r="EU33" s="10"/>
      <c r="EV33" s="10"/>
      <c r="EW33" s="10"/>
      <c r="EX33" s="4"/>
      <c r="EY33" s="4"/>
      <c r="EZ33" s="4"/>
      <c r="FA33" s="4"/>
      <c r="FB33" s="4"/>
      <c r="FC33" s="4"/>
      <c r="FD33" s="4"/>
      <c r="FE33" s="4"/>
      <c r="FF33" s="4"/>
      <c r="FG33" s="4"/>
      <c r="FH33" s="10"/>
      <c r="FI33" s="10"/>
      <c r="FJ33" s="10"/>
      <c r="FK33" s="10"/>
      <c r="FL33" s="10"/>
      <c r="FM33" s="10"/>
      <c r="FN33" s="4"/>
      <c r="FO33" s="4"/>
      <c r="FP33" s="10"/>
      <c r="FQ33" s="4"/>
      <c r="FR33" s="4"/>
      <c r="FS33" s="10"/>
      <c r="FT33" s="4"/>
      <c r="FU33" s="4"/>
      <c r="FV33" s="4"/>
      <c r="FW33" s="4"/>
      <c r="FX33" s="4"/>
      <c r="FY33" s="4"/>
      <c r="FZ33" s="10"/>
      <c r="GA33" s="10"/>
      <c r="GB33" s="10"/>
      <c r="GC33" s="10"/>
      <c r="GD33" s="4"/>
      <c r="GE33" s="4"/>
      <c r="GF33" s="4"/>
      <c r="GG33" s="4"/>
      <c r="GH33" s="4"/>
      <c r="GI33" s="4"/>
      <c r="GJ33" s="4"/>
      <c r="GK33" s="4"/>
      <c r="GL33" s="4"/>
      <c r="GM33" s="4"/>
      <c r="GN33" s="10"/>
      <c r="GO33" s="10"/>
      <c r="GP33" s="4"/>
      <c r="GQ33" s="10"/>
      <c r="GR33" s="4"/>
      <c r="GS33" s="10"/>
      <c r="GT33" s="4"/>
      <c r="GU33" s="10"/>
      <c r="GV33" s="4"/>
      <c r="GW33" s="10"/>
      <c r="GX33" s="10"/>
      <c r="GY33" s="10"/>
      <c r="GZ33" s="10"/>
      <c r="HA33" s="18">
        <v>43198</v>
      </c>
      <c r="HB33" s="4">
        <v>846.91</v>
      </c>
      <c r="HC33" s="77" t="str">
        <f t="shared" si="22"/>
        <v/>
      </c>
      <c r="HD33" s="8" t="str">
        <f t="shared" si="29"/>
        <v/>
      </c>
      <c r="HE33" s="2"/>
      <c r="HF33" s="3"/>
      <c r="HG33" s="4"/>
      <c r="HH33" s="4"/>
      <c r="HI33" s="4"/>
      <c r="HJ33" s="4"/>
      <c r="HK33" s="4"/>
      <c r="HL33" s="4"/>
      <c r="HM33" s="4"/>
      <c r="HN33" s="4"/>
      <c r="HO33" s="4"/>
      <c r="HP33" s="4"/>
      <c r="HQ33" s="4"/>
      <c r="HR33" s="4"/>
      <c r="HS33" s="4"/>
      <c r="HT33" s="10"/>
      <c r="HU33" s="10"/>
      <c r="HV33" s="4"/>
      <c r="HW33" s="4"/>
      <c r="HX33" s="4"/>
      <c r="HY33" s="4"/>
      <c r="HZ33" s="4"/>
      <c r="IA33" s="4"/>
      <c r="IB33" s="4"/>
      <c r="IC33" s="4"/>
      <c r="ID33" s="10"/>
      <c r="IE33" s="4"/>
      <c r="IF33" s="10"/>
      <c r="IG33" s="4"/>
      <c r="IH33" s="4"/>
      <c r="II33" s="4"/>
      <c r="IJ33" s="4"/>
      <c r="IK33" s="4"/>
      <c r="IL33" s="4"/>
      <c r="IM33" s="4"/>
      <c r="IN33" s="4"/>
      <c r="IO33" s="4"/>
      <c r="IP33" s="4"/>
      <c r="IQ33" s="4"/>
      <c r="IR33" s="4"/>
      <c r="IS33" s="4"/>
      <c r="IT33" s="10"/>
      <c r="IU33" s="4"/>
      <c r="IV33" s="4"/>
      <c r="IW33" s="4"/>
      <c r="IX33" s="10"/>
      <c r="IY33" s="4"/>
      <c r="IZ33" s="4"/>
      <c r="JA33" s="4"/>
      <c r="JB33" s="4"/>
      <c r="JC33" s="4"/>
      <c r="JD33" s="4"/>
      <c r="JE33" s="4"/>
      <c r="JF33" s="10"/>
      <c r="JG33" s="10"/>
      <c r="JH33" s="10"/>
      <c r="JI33" s="4"/>
      <c r="JJ33" s="4"/>
      <c r="JK33" s="4"/>
      <c r="JL33" s="4"/>
      <c r="JM33" s="4"/>
      <c r="JN33" s="10"/>
      <c r="JO33" s="10"/>
      <c r="JP33" s="4"/>
      <c r="JQ33" s="4"/>
      <c r="JR33" s="4"/>
      <c r="JS33" s="4"/>
      <c r="JT33" s="4"/>
      <c r="JU33" s="10"/>
      <c r="JV33" s="4"/>
      <c r="JW33" s="4"/>
      <c r="JX33" s="4"/>
      <c r="JY33" s="4"/>
      <c r="JZ33" s="4"/>
      <c r="KA33" s="4"/>
      <c r="KB33" s="4"/>
      <c r="KC33" s="4"/>
      <c r="KD33" s="10"/>
      <c r="KE33" s="10"/>
      <c r="KF33" s="10"/>
      <c r="KG33" s="4"/>
      <c r="KH33" s="10"/>
      <c r="KI33" s="10"/>
      <c r="KJ33" s="10"/>
      <c r="KK33" s="10"/>
      <c r="KL33" s="4"/>
      <c r="KM33" s="10"/>
      <c r="KN33" s="4"/>
      <c r="KO33" s="4"/>
      <c r="KP33" s="4"/>
      <c r="KQ33" s="4"/>
      <c r="KR33" s="10"/>
      <c r="KS33" s="4"/>
      <c r="KT33" s="4"/>
      <c r="KU33" s="4"/>
      <c r="KV33" s="4"/>
      <c r="KW33" s="4"/>
      <c r="KX33" s="18">
        <v>43195</v>
      </c>
      <c r="KY33" s="4">
        <v>832.03</v>
      </c>
      <c r="KZ33" s="77" t="str">
        <f t="shared" si="23"/>
        <v/>
      </c>
      <c r="LA33" s="8" t="str">
        <f t="shared" si="30"/>
        <v/>
      </c>
      <c r="LB33" s="2"/>
      <c r="LC33" s="43"/>
      <c r="MO33" s="172"/>
      <c r="NO33" s="77"/>
      <c r="NP33" s="63"/>
      <c r="NQ33"/>
      <c r="NR33" s="77" t="str">
        <f t="shared" si="24"/>
        <v/>
      </c>
      <c r="NS33" s="8" t="str">
        <f t="shared" si="4"/>
        <v/>
      </c>
      <c r="NT33" s="2"/>
      <c r="NU33" s="7"/>
      <c r="NV33" s="4"/>
      <c r="NW33" s="4"/>
      <c r="NX33" s="4"/>
      <c r="NY33" s="4"/>
      <c r="NZ33" s="4"/>
      <c r="OA33" s="4"/>
      <c r="OB33" s="4"/>
      <c r="OC33" s="4"/>
      <c r="OD33" s="4"/>
      <c r="OE33" s="77" t="str">
        <f t="shared" si="25"/>
        <v/>
      </c>
      <c r="OF33" s="8" t="str">
        <f t="shared" si="5"/>
        <v/>
      </c>
      <c r="OG33" s="2"/>
      <c r="OJ33" s="40"/>
      <c r="OK33" s="40"/>
      <c r="OL33" s="40"/>
      <c r="OM33" s="40"/>
      <c r="ON33" s="40"/>
      <c r="OO33" s="40"/>
      <c r="OQ33" s="40"/>
      <c r="OR33" s="77"/>
      <c r="OS33" s="35"/>
      <c r="OT33" s="37"/>
      <c r="OU33" s="126" t="str">
        <f t="shared" si="31"/>
        <v/>
      </c>
      <c r="OV33" s="71" t="str">
        <f t="shared" si="9"/>
        <v/>
      </c>
      <c r="OW33" s="139" t="str">
        <f>IF(A33="","",SUM(Z$17:Z33))</f>
        <v/>
      </c>
      <c r="OX33" s="139" t="str">
        <f t="shared" si="32"/>
        <v/>
      </c>
      <c r="OY33" s="132" t="str">
        <f t="shared" si="33"/>
        <v/>
      </c>
      <c r="OZ33" s="140" t="str">
        <f t="shared" si="34"/>
        <v/>
      </c>
      <c r="PA33" s="84" t="str">
        <f t="shared" si="15"/>
        <v/>
      </c>
      <c r="PB33" s="130" t="str">
        <f>IF(A33="","",SUM(HB$17:HB33)+SUM(KY$17:KY33))</f>
        <v/>
      </c>
      <c r="PC33" s="131" t="str">
        <f t="shared" si="35"/>
        <v/>
      </c>
      <c r="PD33" s="132" t="str">
        <f t="shared" si="36"/>
        <v/>
      </c>
      <c r="PE33" s="133"/>
      <c r="PF33" s="134"/>
      <c r="PG33" s="133"/>
      <c r="PH33" s="134"/>
      <c r="PI33" s="135" t="str">
        <f t="shared" si="37"/>
        <v/>
      </c>
      <c r="PJ33" s="136" t="str">
        <f t="shared" si="10"/>
        <v/>
      </c>
      <c r="PK33" s="123"/>
      <c r="PL33" s="137" t="str">
        <f t="shared" si="38"/>
        <v/>
      </c>
      <c r="PM33" s="9" t="str">
        <f t="shared" si="39"/>
        <v/>
      </c>
      <c r="PN33" s="138" t="str">
        <f t="shared" si="40"/>
        <v/>
      </c>
      <c r="PO33" s="86" t="str">
        <f>IF(PI33="","",MAX(PI$15:PI33))</f>
        <v/>
      </c>
      <c r="PP33" s="113" t="str">
        <f t="shared" si="11"/>
        <v/>
      </c>
      <c r="PQ33" s="41"/>
      <c r="PR33" s="302"/>
    </row>
    <row r="34" spans="1:434" s="1" customFormat="1" ht="15" customHeight="1" x14ac:dyDescent="0.45">
      <c r="A34" s="18">
        <v>43224</v>
      </c>
      <c r="B34" s="3" t="s">
        <v>295</v>
      </c>
      <c r="C34" s="4">
        <v>20475</v>
      </c>
      <c r="D34" s="10"/>
      <c r="E34" s="10"/>
      <c r="F34" s="10"/>
      <c r="G34" s="4"/>
      <c r="H34" s="4"/>
      <c r="I34" s="4">
        <v>20025</v>
      </c>
      <c r="J34" s="4">
        <v>14045</v>
      </c>
      <c r="K34" s="4"/>
      <c r="L34" s="4"/>
      <c r="M34" s="4"/>
      <c r="N34" s="4"/>
      <c r="O34" s="10"/>
      <c r="P34" s="4"/>
      <c r="Q34" s="4"/>
      <c r="R34" s="4">
        <v>28806</v>
      </c>
      <c r="S34" s="4"/>
      <c r="T34" s="4"/>
      <c r="U34" s="10">
        <v>51520</v>
      </c>
      <c r="V34" s="10"/>
      <c r="W34" s="10"/>
      <c r="X34" s="4"/>
      <c r="Y34" s="18"/>
      <c r="Z34" s="4"/>
      <c r="AA34" s="77" t="e">
        <f t="shared" si="21"/>
        <v>#VALUE!</v>
      </c>
      <c r="AB34" s="8">
        <f t="shared" si="27"/>
        <v>134871</v>
      </c>
      <c r="AC34" s="2"/>
      <c r="AD34" s="3"/>
      <c r="AE34" s="4">
        <v>46735</v>
      </c>
      <c r="AF34" s="4">
        <v>313371</v>
      </c>
      <c r="AG34" s="4"/>
      <c r="AH34" s="4"/>
      <c r="AJ34" s="4"/>
      <c r="AK34" s="4"/>
      <c r="AL34" s="4"/>
      <c r="AM34" s="4"/>
      <c r="AO34" s="4"/>
      <c r="AP34" s="10"/>
      <c r="AQ34" s="4"/>
      <c r="AR34" s="4"/>
      <c r="AS34" s="4"/>
      <c r="AT34" s="4"/>
      <c r="AU34" s="4"/>
      <c r="AW34" s="4"/>
      <c r="AX34" s="4">
        <v>11508</v>
      </c>
      <c r="AY34" s="4"/>
      <c r="AZ34" s="4"/>
      <c r="BA34" s="4">
        <v>23612</v>
      </c>
      <c r="BB34" s="4"/>
      <c r="BC34" s="4"/>
      <c r="BD34" s="4"/>
      <c r="BE34" s="4"/>
      <c r="BF34" s="4"/>
      <c r="BH34" s="4">
        <v>36276</v>
      </c>
      <c r="BI34" s="4"/>
      <c r="BJ34" s="4"/>
      <c r="BK34" s="4"/>
      <c r="BL34" s="4"/>
      <c r="BM34" s="4">
        <v>18921</v>
      </c>
      <c r="BN34" s="4">
        <v>19695</v>
      </c>
      <c r="BO34" s="4"/>
      <c r="BP34" s="4"/>
      <c r="BQ34" s="4"/>
      <c r="BS34" s="10"/>
      <c r="BT34" s="4"/>
      <c r="BU34" s="4"/>
      <c r="BV34" s="4"/>
      <c r="BW34" s="4"/>
      <c r="CA34" s="4">
        <v>94066</v>
      </c>
      <c r="CB34" s="4"/>
      <c r="CC34" s="4">
        <v>17972</v>
      </c>
      <c r="CD34" s="4"/>
      <c r="CE34" s="4"/>
      <c r="CF34" s="4"/>
      <c r="CG34" s="4"/>
      <c r="CH34" s="4"/>
      <c r="CI34" s="4"/>
      <c r="CJ34" s="10"/>
      <c r="CK34" s="4"/>
      <c r="CL34" s="10"/>
      <c r="CN34" s="4"/>
      <c r="CO34" s="10"/>
      <c r="CP34" s="4"/>
      <c r="CQ34" s="4">
        <v>15443</v>
      </c>
      <c r="CR34" s="10"/>
      <c r="CS34" s="4"/>
      <c r="CT34" s="4"/>
      <c r="CU34" s="4">
        <v>19247</v>
      </c>
      <c r="CV34" s="4"/>
      <c r="CW34" s="4"/>
      <c r="CX34" s="4"/>
      <c r="CY34" s="77" t="e">
        <f t="shared" si="12"/>
        <v>#VALUE!</v>
      </c>
      <c r="CZ34" s="8">
        <f t="shared" si="28"/>
        <v>616846</v>
      </c>
      <c r="DA34" s="2"/>
      <c r="DH34" s="4"/>
      <c r="DJ34" s="4"/>
      <c r="DX34" s="2"/>
      <c r="DY34" s="32"/>
      <c r="DZ34" s="4">
        <v>5</v>
      </c>
      <c r="EA34" s="32"/>
      <c r="EB34" s="32"/>
      <c r="EC34" s="32"/>
      <c r="ED34" s="32"/>
      <c r="EE34" s="4"/>
      <c r="EF34" s="4"/>
      <c r="EG34" s="32"/>
      <c r="EH34" s="32"/>
      <c r="EI34" s="32"/>
      <c r="EJ34" s="32"/>
      <c r="EK34" s="5"/>
      <c r="EO34" s="2"/>
      <c r="EQ34" s="468" t="s">
        <v>1</v>
      </c>
      <c r="ER34"/>
      <c r="ES34" s="6"/>
      <c r="ET34" s="10"/>
      <c r="EU34" s="10"/>
      <c r="EV34" s="10"/>
      <c r="EW34" s="10"/>
      <c r="EX34" s="4">
        <v>5099</v>
      </c>
      <c r="EY34" s="4">
        <v>22015</v>
      </c>
      <c r="EZ34" s="4">
        <v>16181</v>
      </c>
      <c r="FA34" s="4">
        <v>18931</v>
      </c>
      <c r="FB34" s="4"/>
      <c r="FC34" s="4"/>
      <c r="FD34" s="4"/>
      <c r="FE34" s="4"/>
      <c r="FF34" s="4"/>
      <c r="FG34" s="4"/>
      <c r="FH34" s="10">
        <v>18108</v>
      </c>
      <c r="FI34" s="10">
        <v>20465</v>
      </c>
      <c r="FJ34" s="10"/>
      <c r="FK34" s="10"/>
      <c r="FL34" s="10"/>
      <c r="FM34" s="10">
        <v>21129</v>
      </c>
      <c r="FN34" s="4"/>
      <c r="FO34" s="4"/>
      <c r="FP34" s="10">
        <v>19389</v>
      </c>
      <c r="FQ34" s="4"/>
      <c r="FR34" s="4"/>
      <c r="FS34" s="10">
        <v>18661</v>
      </c>
      <c r="FT34" s="4">
        <v>20025</v>
      </c>
      <c r="FU34" s="4">
        <v>14045</v>
      </c>
      <c r="FV34" s="4"/>
      <c r="FW34" s="4"/>
      <c r="FX34" s="4"/>
      <c r="FY34" s="4"/>
      <c r="FZ34" s="10">
        <v>18995</v>
      </c>
      <c r="GA34" s="10">
        <v>22520</v>
      </c>
      <c r="GB34" s="10"/>
      <c r="GC34" s="10"/>
      <c r="GD34" s="4"/>
      <c r="GE34" s="4"/>
      <c r="GF34" s="4">
        <v>15936</v>
      </c>
      <c r="GG34" s="4"/>
      <c r="GH34" s="4"/>
      <c r="GI34" s="4"/>
      <c r="GJ34" s="4"/>
      <c r="GK34" s="4"/>
      <c r="GL34" s="4"/>
      <c r="GM34" s="4">
        <v>17253</v>
      </c>
      <c r="GN34" s="10">
        <v>16273</v>
      </c>
      <c r="GO34" s="10">
        <v>21774</v>
      </c>
      <c r="GP34" s="4"/>
      <c r="GQ34" s="10"/>
      <c r="GR34" s="4">
        <v>23359</v>
      </c>
      <c r="GS34" s="10"/>
      <c r="GT34" s="4"/>
      <c r="GU34" s="10"/>
      <c r="GV34" s="4"/>
      <c r="GW34" s="10"/>
      <c r="GX34" s="10">
        <v>19188</v>
      </c>
      <c r="GY34" s="10"/>
      <c r="GZ34" s="10"/>
      <c r="HA34" s="18">
        <v>43221</v>
      </c>
      <c r="HB34" s="4">
        <v>2000</v>
      </c>
      <c r="HC34" s="77" t="e">
        <f t="shared" si="22"/>
        <v>#VALUE!</v>
      </c>
      <c r="HD34" s="8">
        <f t="shared" si="29"/>
        <v>349346</v>
      </c>
      <c r="HE34" s="2"/>
      <c r="HF34" s="3" t="s">
        <v>295</v>
      </c>
      <c r="HG34" s="4">
        <v>7494</v>
      </c>
      <c r="HH34" s="4"/>
      <c r="HI34" s="4"/>
      <c r="HJ34" s="4"/>
      <c r="HK34" s="4"/>
      <c r="HL34" s="4"/>
      <c r="HM34" s="4"/>
      <c r="HN34" s="4"/>
      <c r="HO34" s="4"/>
      <c r="HP34" s="4">
        <v>16600</v>
      </c>
      <c r="HQ34" s="4"/>
      <c r="HR34" s="4"/>
      <c r="HS34" s="4"/>
      <c r="HT34" s="10">
        <v>14318</v>
      </c>
      <c r="HU34" s="10"/>
      <c r="HV34" s="4"/>
      <c r="HW34" s="4"/>
      <c r="HX34" s="4"/>
      <c r="HY34" s="4"/>
      <c r="HZ34" s="4"/>
      <c r="IA34" s="4"/>
      <c r="IB34" s="4"/>
      <c r="IC34" s="4">
        <v>17628</v>
      </c>
      <c r="ID34" s="10">
        <v>17684</v>
      </c>
      <c r="IE34" s="4"/>
      <c r="IF34" s="10"/>
      <c r="IG34" s="4"/>
      <c r="IH34" s="4"/>
      <c r="II34" s="4"/>
      <c r="IJ34" s="4"/>
      <c r="IK34" s="4"/>
      <c r="IL34" s="4"/>
      <c r="IM34" s="4"/>
      <c r="IN34" s="4"/>
      <c r="IO34" s="4"/>
      <c r="IP34" s="4"/>
      <c r="IQ34" s="4"/>
      <c r="IR34" s="4">
        <v>18921</v>
      </c>
      <c r="IS34" s="4">
        <v>19695</v>
      </c>
      <c r="IT34" s="10">
        <v>26280</v>
      </c>
      <c r="IU34" s="4"/>
      <c r="IV34" s="4"/>
      <c r="IW34" s="4"/>
      <c r="IX34" s="10">
        <v>21594</v>
      </c>
      <c r="IY34" s="4"/>
      <c r="IZ34" s="4"/>
      <c r="JA34" s="4"/>
      <c r="JB34" s="4"/>
      <c r="JC34" s="4"/>
      <c r="JD34" s="4"/>
      <c r="JE34" s="4"/>
      <c r="JF34" s="10"/>
      <c r="JG34" s="10"/>
      <c r="JH34" s="10"/>
      <c r="JI34" s="4"/>
      <c r="JJ34" s="4"/>
      <c r="JK34" s="4"/>
      <c r="JL34" s="4">
        <v>17274</v>
      </c>
      <c r="JM34" s="4"/>
      <c r="JN34" s="10"/>
      <c r="JO34" s="10"/>
      <c r="JP34" s="4"/>
      <c r="JQ34" s="4"/>
      <c r="JR34" s="4"/>
      <c r="JS34" s="4"/>
      <c r="JT34" s="4"/>
      <c r="JU34" s="10"/>
      <c r="JV34" s="4"/>
      <c r="JW34" s="4"/>
      <c r="JX34" s="4"/>
      <c r="JY34" s="4"/>
      <c r="JZ34" s="4"/>
      <c r="KA34" s="4"/>
      <c r="KB34" s="4"/>
      <c r="KC34" s="4"/>
      <c r="KD34" s="10">
        <v>16659</v>
      </c>
      <c r="KE34" s="10">
        <v>20381</v>
      </c>
      <c r="KF34" s="10">
        <v>15333</v>
      </c>
      <c r="KG34" s="4"/>
      <c r="KH34" s="10"/>
      <c r="KI34" s="10"/>
      <c r="KJ34" s="10">
        <v>16777</v>
      </c>
      <c r="KK34" s="10">
        <v>22724</v>
      </c>
      <c r="KL34" s="4">
        <v>15443</v>
      </c>
      <c r="KM34" s="10">
        <v>13599</v>
      </c>
      <c r="KN34" s="4"/>
      <c r="KO34" s="4"/>
      <c r="KP34" s="4">
        <v>19247</v>
      </c>
      <c r="KQ34" s="4"/>
      <c r="KR34" s="10"/>
      <c r="KS34" s="4">
        <v>20400</v>
      </c>
      <c r="KT34" s="4"/>
      <c r="KU34" s="4"/>
      <c r="KV34" s="4"/>
      <c r="KW34" s="4"/>
      <c r="KX34" s="18"/>
      <c r="KY34" s="4"/>
      <c r="KZ34" s="77" t="e">
        <f t="shared" si="23"/>
        <v>#VALUE!</v>
      </c>
      <c r="LA34" s="8">
        <f t="shared" si="30"/>
        <v>338051</v>
      </c>
      <c r="LB34" s="2"/>
      <c r="LC34" s="43"/>
      <c r="MO34" s="172"/>
      <c r="NO34" s="77"/>
      <c r="NP34" s="63"/>
      <c r="NQ34"/>
      <c r="NR34" s="77" t="e">
        <f t="shared" si="24"/>
        <v>#VALUE!</v>
      </c>
      <c r="NS34" s="8">
        <f t="shared" si="4"/>
        <v>0</v>
      </c>
      <c r="NT34" s="2"/>
      <c r="NU34" s="3" t="s">
        <v>295</v>
      </c>
      <c r="NV34" s="4">
        <v>5</v>
      </c>
      <c r="NW34" s="4"/>
      <c r="NX34" s="4"/>
      <c r="NY34" s="4"/>
      <c r="NZ34" s="4"/>
      <c r="OA34" s="4"/>
      <c r="OB34" s="4"/>
      <c r="OC34" s="4">
        <v>28938</v>
      </c>
      <c r="OD34" s="4"/>
      <c r="OE34" s="77" t="e">
        <f t="shared" si="25"/>
        <v>#VALUE!</v>
      </c>
      <c r="OF34" s="8">
        <f t="shared" si="5"/>
        <v>28943</v>
      </c>
      <c r="OG34" s="2"/>
      <c r="OJ34" s="40"/>
      <c r="OK34" s="40"/>
      <c r="OL34" s="40"/>
      <c r="OM34" s="40"/>
      <c r="ON34" s="40"/>
      <c r="OO34" s="40"/>
      <c r="OQ34" s="40"/>
      <c r="OR34" s="77"/>
      <c r="OS34" s="35"/>
      <c r="OT34" s="37"/>
      <c r="OU34" s="126">
        <f t="shared" si="31"/>
        <v>780660</v>
      </c>
      <c r="OV34" s="71" t="e">
        <f t="shared" si="9"/>
        <v>#VALUE!</v>
      </c>
      <c r="OW34" s="139">
        <f>IF(A34="","",SUM(Z$17:Z34))</f>
        <v>20000</v>
      </c>
      <c r="OX34" s="139">
        <f t="shared" si="32"/>
        <v>800660</v>
      </c>
      <c r="OY34" s="132">
        <f t="shared" si="33"/>
        <v>0.12201841676371132</v>
      </c>
      <c r="OZ34" s="140">
        <f t="shared" si="34"/>
        <v>687397</v>
      </c>
      <c r="PA34" s="84" t="e">
        <f t="shared" si="15"/>
        <v>#VALUE!</v>
      </c>
      <c r="PB34" s="130">
        <f>IF(A34="","",SUM(HB$17:HB34)+SUM(KY$17:KY34))</f>
        <v>37682.810000000005</v>
      </c>
      <c r="PC34" s="131">
        <f t="shared" si="35"/>
        <v>725079.81</v>
      </c>
      <c r="PD34" s="132">
        <f t="shared" si="36"/>
        <v>9.7739224036783173E-2</v>
      </c>
      <c r="PE34" s="133"/>
      <c r="PF34" s="134"/>
      <c r="PG34" s="133"/>
      <c r="PH34" s="134"/>
      <c r="PI34" s="135">
        <f t="shared" si="37"/>
        <v>1468057</v>
      </c>
      <c r="PJ34" s="136" t="e">
        <f t="shared" si="10"/>
        <v>#VALUE!</v>
      </c>
      <c r="PK34" s="123"/>
      <c r="PL34" s="137">
        <f t="shared" si="38"/>
        <v>57682.810000000005</v>
      </c>
      <c r="PM34" s="9">
        <f t="shared" si="39"/>
        <v>1525739.81</v>
      </c>
      <c r="PN34" s="138">
        <f t="shared" si="40"/>
        <v>0.11034765047921932</v>
      </c>
      <c r="PO34" s="86">
        <f>IF(PI34="","",MAX(PI$15:PI34))</f>
        <v>1499325</v>
      </c>
      <c r="PP34" s="113">
        <f t="shared" si="11"/>
        <v>-2.1298900519530237E-2</v>
      </c>
      <c r="PQ34" s="41"/>
      <c r="PR34" s="302"/>
    </row>
    <row r="35" spans="1:434" s="1" customFormat="1" ht="15" customHeight="1" x14ac:dyDescent="0.45">
      <c r="A35" s="18">
        <v>43254</v>
      </c>
      <c r="B35" s="3" t="s">
        <v>295</v>
      </c>
      <c r="C35" s="4">
        <v>20633</v>
      </c>
      <c r="D35" s="10"/>
      <c r="E35" s="10"/>
      <c r="F35" s="10"/>
      <c r="G35" s="4"/>
      <c r="H35" s="4"/>
      <c r="I35" s="4">
        <v>19818</v>
      </c>
      <c r="J35" s="4">
        <v>14035</v>
      </c>
      <c r="K35" s="4"/>
      <c r="L35" s="4"/>
      <c r="M35" s="4"/>
      <c r="N35" s="4"/>
      <c r="O35" s="10"/>
      <c r="P35" s="4"/>
      <c r="Q35" s="4"/>
      <c r="R35" s="4">
        <v>29080</v>
      </c>
      <c r="S35" s="4"/>
      <c r="T35" s="4"/>
      <c r="U35" s="10">
        <v>51702</v>
      </c>
      <c r="V35" s="10"/>
      <c r="W35" s="10"/>
      <c r="X35" s="4"/>
      <c r="Y35" s="18"/>
      <c r="Z35" s="4"/>
      <c r="AA35" s="77">
        <f t="shared" si="21"/>
        <v>2.9435534696117031E-3</v>
      </c>
      <c r="AB35" s="8">
        <f t="shared" si="27"/>
        <v>135268</v>
      </c>
      <c r="AC35" s="2"/>
      <c r="AD35" s="3" t="s">
        <v>295</v>
      </c>
      <c r="AE35" s="4">
        <v>48457</v>
      </c>
      <c r="AF35" s="4">
        <v>313479</v>
      </c>
      <c r="AG35" s="4"/>
      <c r="AH35" s="4"/>
      <c r="AJ35" s="4"/>
      <c r="AK35" s="4"/>
      <c r="AL35" s="4"/>
      <c r="AM35" s="4"/>
      <c r="AO35" s="4"/>
      <c r="AP35" s="10"/>
      <c r="AQ35" s="4"/>
      <c r="AR35" s="4"/>
      <c r="AS35" s="4"/>
      <c r="AT35" s="4"/>
      <c r="AU35" s="4"/>
      <c r="AW35" s="4"/>
      <c r="AX35" s="4">
        <v>11479</v>
      </c>
      <c r="AY35" s="4"/>
      <c r="AZ35" s="4"/>
      <c r="BA35" s="4">
        <v>23689</v>
      </c>
      <c r="BB35" s="4"/>
      <c r="BC35" s="4"/>
      <c r="BD35" s="4"/>
      <c r="BE35" s="4"/>
      <c r="BF35" s="4"/>
      <c r="BH35" s="4">
        <v>36448</v>
      </c>
      <c r="BI35" s="4"/>
      <c r="BJ35" s="4"/>
      <c r="BK35" s="4"/>
      <c r="BL35" s="4"/>
      <c r="BM35" s="4">
        <v>19590</v>
      </c>
      <c r="BN35" s="4">
        <v>20853</v>
      </c>
      <c r="BO35" s="4"/>
      <c r="BP35" s="4"/>
      <c r="BQ35" s="4"/>
      <c r="BS35" s="10"/>
      <c r="BT35" s="4"/>
      <c r="BU35" s="4"/>
      <c r="BV35" s="4"/>
      <c r="BW35" s="4"/>
      <c r="CA35" s="4">
        <v>94077</v>
      </c>
      <c r="CB35" s="4"/>
      <c r="CC35" s="4">
        <v>18003</v>
      </c>
      <c r="CD35" s="4"/>
      <c r="CE35" s="4"/>
      <c r="CF35" s="4"/>
      <c r="CG35" s="4"/>
      <c r="CH35" s="4"/>
      <c r="CI35" s="4"/>
      <c r="CJ35" s="10"/>
      <c r="CK35" s="4"/>
      <c r="CL35" s="10"/>
      <c r="CN35" s="4"/>
      <c r="CO35" s="10"/>
      <c r="CP35" s="4"/>
      <c r="CQ35" s="4">
        <v>15848</v>
      </c>
      <c r="CR35" s="10"/>
      <c r="CS35" s="4"/>
      <c r="CT35" s="4"/>
      <c r="CU35" s="4">
        <v>18875</v>
      </c>
      <c r="CV35" s="4"/>
      <c r="CW35" s="4"/>
      <c r="CX35" s="4"/>
      <c r="CY35" s="77">
        <f t="shared" si="12"/>
        <v>6.4067854861667257E-3</v>
      </c>
      <c r="CZ35" s="8">
        <f t="shared" si="28"/>
        <v>620798</v>
      </c>
      <c r="DA35" s="2"/>
      <c r="DH35" s="4"/>
      <c r="DJ35" s="4"/>
      <c r="DX35" s="2"/>
      <c r="DY35" s="32"/>
      <c r="DZ35" s="4">
        <v>5</v>
      </c>
      <c r="EA35" s="32"/>
      <c r="EB35" s="32"/>
      <c r="EC35" s="32"/>
      <c r="ED35" s="32"/>
      <c r="EE35" s="4"/>
      <c r="EF35" s="4"/>
      <c r="EG35" s="32"/>
      <c r="EH35" s="32"/>
      <c r="EI35" s="32"/>
      <c r="EJ35" s="32"/>
      <c r="EK35" s="5"/>
      <c r="EO35" s="2"/>
      <c r="EQ35" s="468" t="s">
        <v>1</v>
      </c>
      <c r="ER35"/>
      <c r="ES35" s="6" t="s">
        <v>317</v>
      </c>
      <c r="ET35" s="10"/>
      <c r="EU35" s="10"/>
      <c r="EV35" s="10"/>
      <c r="EW35" s="10"/>
      <c r="EX35" s="4">
        <f>3455+2145.63</f>
        <v>5600.63</v>
      </c>
      <c r="EY35" s="4">
        <v>22828</v>
      </c>
      <c r="EZ35" s="4">
        <v>15980</v>
      </c>
      <c r="FA35" s="4">
        <v>19426</v>
      </c>
      <c r="FB35" s="4"/>
      <c r="FC35" s="4"/>
      <c r="FD35" s="4"/>
      <c r="FE35" s="4"/>
      <c r="FF35" s="4"/>
      <c r="FG35" s="4"/>
      <c r="FH35" s="10">
        <v>17464</v>
      </c>
      <c r="FI35" s="10">
        <v>19218</v>
      </c>
      <c r="FJ35" s="10"/>
      <c r="FK35" s="10"/>
      <c r="FL35" s="10"/>
      <c r="FM35" s="10">
        <v>22203</v>
      </c>
      <c r="FN35" s="4"/>
      <c r="FO35" s="4"/>
      <c r="FP35" s="10">
        <v>20288</v>
      </c>
      <c r="FQ35" s="4"/>
      <c r="FR35" s="4"/>
      <c r="FS35" s="10">
        <v>20151</v>
      </c>
      <c r="FT35" s="4">
        <v>19818</v>
      </c>
      <c r="FU35" s="4">
        <v>14035</v>
      </c>
      <c r="FV35" s="4"/>
      <c r="FW35" s="4"/>
      <c r="FX35" s="4"/>
      <c r="FY35" s="4"/>
      <c r="FZ35" s="10">
        <v>21562</v>
      </c>
      <c r="GA35" s="10">
        <v>23444</v>
      </c>
      <c r="GB35" s="10"/>
      <c r="GC35" s="10"/>
      <c r="GD35" s="4"/>
      <c r="GE35" s="4"/>
      <c r="GF35" s="4">
        <v>16573</v>
      </c>
      <c r="GG35" s="4"/>
      <c r="GH35" s="4"/>
      <c r="GI35" s="4"/>
      <c r="GJ35" s="4"/>
      <c r="GK35" s="4"/>
      <c r="GL35" s="4"/>
      <c r="GM35" s="4">
        <v>17073</v>
      </c>
      <c r="GN35" s="10">
        <v>16474</v>
      </c>
      <c r="GO35" s="10">
        <v>22894</v>
      </c>
      <c r="GP35" s="4"/>
      <c r="GQ35" s="10"/>
      <c r="GR35" s="4">
        <v>23507</v>
      </c>
      <c r="GS35" s="10"/>
      <c r="GT35" s="4"/>
      <c r="GU35" s="10"/>
      <c r="GV35" s="4"/>
      <c r="GW35" s="10"/>
      <c r="GX35" s="10">
        <v>19124</v>
      </c>
      <c r="GY35" s="10"/>
      <c r="GZ35" s="10"/>
      <c r="HA35" s="18">
        <v>43252</v>
      </c>
      <c r="HB35" s="4">
        <v>2000</v>
      </c>
      <c r="HC35" s="77">
        <f t="shared" si="22"/>
        <v>2.3806283741620068E-2</v>
      </c>
      <c r="HD35" s="8">
        <f t="shared" si="29"/>
        <v>357662.63</v>
      </c>
      <c r="HE35" s="2"/>
      <c r="HF35" s="3" t="s">
        <v>295</v>
      </c>
      <c r="HG35" s="4">
        <v>7653</v>
      </c>
      <c r="HH35" s="4"/>
      <c r="HI35" s="4"/>
      <c r="HJ35" s="4"/>
      <c r="HK35" s="4"/>
      <c r="HL35" s="4"/>
      <c r="HM35" s="4"/>
      <c r="HN35" s="4"/>
      <c r="HO35" s="4"/>
      <c r="HP35" s="4">
        <v>16680</v>
      </c>
      <c r="HQ35" s="4"/>
      <c r="HR35" s="4"/>
      <c r="HS35" s="4"/>
      <c r="HT35" s="10">
        <v>14933</v>
      </c>
      <c r="HU35" s="10"/>
      <c r="HV35" s="4"/>
      <c r="HW35" s="4"/>
      <c r="HX35" s="4"/>
      <c r="HY35" s="4"/>
      <c r="HZ35" s="4"/>
      <c r="IA35" s="4"/>
      <c r="IB35" s="4"/>
      <c r="IC35" s="4">
        <v>18891</v>
      </c>
      <c r="ID35" s="10">
        <v>17388</v>
      </c>
      <c r="IE35" s="4"/>
      <c r="IF35" s="10"/>
      <c r="IG35" s="4"/>
      <c r="IH35" s="4"/>
      <c r="II35" s="4"/>
      <c r="IJ35" s="4"/>
      <c r="IK35" s="4"/>
      <c r="IL35" s="4"/>
      <c r="IM35" s="4"/>
      <c r="IN35" s="4"/>
      <c r="IO35" s="4"/>
      <c r="IP35" s="4"/>
      <c r="IQ35" s="4"/>
      <c r="IR35" s="4">
        <v>19590</v>
      </c>
      <c r="IS35" s="4">
        <v>20853</v>
      </c>
      <c r="IT35" s="10">
        <v>28540</v>
      </c>
      <c r="IU35" s="4"/>
      <c r="IV35" s="4"/>
      <c r="IW35" s="4"/>
      <c r="IX35" s="10">
        <v>21680</v>
      </c>
      <c r="IY35" s="4"/>
      <c r="IZ35" s="4"/>
      <c r="JA35" s="4"/>
      <c r="JB35" s="4"/>
      <c r="JC35" s="4"/>
      <c r="JD35" s="4"/>
      <c r="JE35" s="4"/>
      <c r="JF35" s="10"/>
      <c r="JG35" s="10"/>
      <c r="JH35" s="10"/>
      <c r="JI35" s="4"/>
      <c r="JJ35" s="4"/>
      <c r="JK35" s="4"/>
      <c r="JL35" s="4">
        <v>18168</v>
      </c>
      <c r="JM35" s="4"/>
      <c r="JN35" s="10"/>
      <c r="JO35" s="10"/>
      <c r="JP35" s="4"/>
      <c r="JQ35" s="4"/>
      <c r="JR35" s="4"/>
      <c r="JS35" s="4"/>
      <c r="JT35" s="4"/>
      <c r="JU35" s="10"/>
      <c r="JV35" s="4"/>
      <c r="JW35" s="4"/>
      <c r="JX35" s="4"/>
      <c r="JY35" s="4"/>
      <c r="JZ35" s="4"/>
      <c r="KA35" s="4"/>
      <c r="KB35" s="4"/>
      <c r="KC35" s="4"/>
      <c r="KD35" s="10">
        <v>17036</v>
      </c>
      <c r="KE35" s="10">
        <v>20436</v>
      </c>
      <c r="KF35" s="10">
        <v>15872</v>
      </c>
      <c r="KG35" s="4"/>
      <c r="KH35" s="10"/>
      <c r="KI35" s="10"/>
      <c r="KJ35" s="10">
        <v>17523</v>
      </c>
      <c r="KK35" s="10">
        <v>24756</v>
      </c>
      <c r="KL35" s="4">
        <v>15848</v>
      </c>
      <c r="KM35" s="10">
        <v>13298</v>
      </c>
      <c r="KN35" s="4"/>
      <c r="KO35" s="4"/>
      <c r="KP35" s="4">
        <v>18875</v>
      </c>
      <c r="KQ35" s="4"/>
      <c r="KR35" s="10"/>
      <c r="KS35" s="4">
        <v>20610</v>
      </c>
      <c r="KT35" s="4"/>
      <c r="KU35" s="4"/>
      <c r="KV35" s="4"/>
      <c r="KW35" s="4"/>
      <c r="KX35" s="18"/>
      <c r="KY35" s="4"/>
      <c r="KZ35" s="77">
        <f t="shared" si="23"/>
        <v>3.1294094678021953E-2</v>
      </c>
      <c r="LA35" s="8">
        <f t="shared" si="30"/>
        <v>348630</v>
      </c>
      <c r="LB35" s="2"/>
      <c r="LC35" s="43"/>
      <c r="MO35" s="172"/>
      <c r="NO35" s="77"/>
      <c r="NP35" s="63"/>
      <c r="NQ35"/>
      <c r="NR35" s="77" t="e">
        <f t="shared" si="24"/>
        <v>#DIV/0!</v>
      </c>
      <c r="NS35" s="8">
        <f t="shared" si="4"/>
        <v>0</v>
      </c>
      <c r="NT35" s="2"/>
      <c r="NU35" s="3" t="s">
        <v>295</v>
      </c>
      <c r="NV35" s="4">
        <v>5</v>
      </c>
      <c r="NW35" s="4"/>
      <c r="NX35" s="4"/>
      <c r="NY35" s="4"/>
      <c r="NZ35" s="4"/>
      <c r="OA35" s="4"/>
      <c r="OB35" s="4"/>
      <c r="OC35" s="4">
        <v>28010</v>
      </c>
      <c r="OD35" s="4"/>
      <c r="OE35" s="77">
        <f t="shared" si="25"/>
        <v>-3.2063020419445115E-2</v>
      </c>
      <c r="OF35" s="8">
        <f t="shared" si="5"/>
        <v>28015</v>
      </c>
      <c r="OG35" s="2"/>
      <c r="OJ35" s="40"/>
      <c r="OK35" s="40"/>
      <c r="OL35" s="40"/>
      <c r="OM35" s="40"/>
      <c r="ON35" s="40"/>
      <c r="OO35" s="40"/>
      <c r="OQ35" s="40"/>
      <c r="OR35" s="77"/>
      <c r="OS35" s="35"/>
      <c r="OT35" s="37"/>
      <c r="OU35" s="126">
        <f t="shared" si="31"/>
        <v>784081</v>
      </c>
      <c r="OV35" s="71">
        <f t="shared" si="9"/>
        <v>4.382189429457126E-3</v>
      </c>
      <c r="OW35" s="139">
        <f>IF(A35="","",SUM(Z$17:Z35))</f>
        <v>20000</v>
      </c>
      <c r="OX35" s="139">
        <f t="shared" si="32"/>
        <v>804081</v>
      </c>
      <c r="OY35" s="132">
        <f t="shared" si="33"/>
        <v>0.12681249290558011</v>
      </c>
      <c r="OZ35" s="140">
        <f t="shared" si="34"/>
        <v>706292.63</v>
      </c>
      <c r="PA35" s="84">
        <f t="shared" si="15"/>
        <v>2.7488671029987043E-2</v>
      </c>
      <c r="PB35" s="130">
        <f>IF(A35="","",SUM(HB$17:HB35)+SUM(KY$17:KY35))</f>
        <v>39682.810000000005</v>
      </c>
      <c r="PC35" s="131">
        <f t="shared" si="35"/>
        <v>745975.44000000006</v>
      </c>
      <c r="PD35" s="132">
        <f t="shared" si="36"/>
        <v>0.12937429695649352</v>
      </c>
      <c r="PE35" s="133"/>
      <c r="PF35" s="134"/>
      <c r="PG35" s="133"/>
      <c r="PH35" s="134"/>
      <c r="PI35" s="135">
        <f t="shared" si="37"/>
        <v>1490373.63</v>
      </c>
      <c r="PJ35" s="136">
        <f t="shared" si="10"/>
        <v>1.5201473784737164E-2</v>
      </c>
      <c r="PK35" s="123"/>
      <c r="PL35" s="137">
        <f t="shared" si="38"/>
        <v>59682.810000000005</v>
      </c>
      <c r="PM35" s="9">
        <f t="shared" si="39"/>
        <v>1550056.44</v>
      </c>
      <c r="PN35" s="138">
        <f t="shared" si="40"/>
        <v>0.1280439266143176</v>
      </c>
      <c r="PO35" s="86">
        <f>IF(PI35="","",MAX(PI$15:PI35))</f>
        <v>1499325</v>
      </c>
      <c r="PP35" s="113">
        <f t="shared" si="11"/>
        <v>-6.006124786306178E-3</v>
      </c>
      <c r="PQ35" s="41"/>
      <c r="PR35" s="302"/>
    </row>
    <row r="36" spans="1:434" s="1" customFormat="1" ht="15" customHeight="1" x14ac:dyDescent="0.45">
      <c r="A36" s="18">
        <v>43283</v>
      </c>
      <c r="B36" s="3" t="s">
        <v>295</v>
      </c>
      <c r="C36" s="4">
        <v>20788</v>
      </c>
      <c r="D36" s="10"/>
      <c r="E36" s="10"/>
      <c r="F36" s="10"/>
      <c r="G36" s="4"/>
      <c r="H36" s="4"/>
      <c r="I36" s="4">
        <v>19011</v>
      </c>
      <c r="J36" s="4">
        <v>13128</v>
      </c>
      <c r="K36" s="4"/>
      <c r="L36" s="4"/>
      <c r="M36" s="4"/>
      <c r="N36" s="4"/>
      <c r="O36" s="10"/>
      <c r="P36" s="4"/>
      <c r="Q36" s="4"/>
      <c r="R36" s="4">
        <v>27781</v>
      </c>
      <c r="S36" s="4"/>
      <c r="T36" s="4"/>
      <c r="U36" s="10">
        <v>51611</v>
      </c>
      <c r="V36" s="10"/>
      <c r="W36" s="10"/>
      <c r="X36" s="4"/>
      <c r="Y36" s="18"/>
      <c r="Z36" s="4"/>
      <c r="AA36" s="77">
        <f t="shared" si="21"/>
        <v>-2.1801165094479109E-2</v>
      </c>
      <c r="AB36" s="8">
        <f t="shared" si="27"/>
        <v>132319</v>
      </c>
      <c r="AC36" s="2"/>
      <c r="AD36" s="3" t="s">
        <v>295</v>
      </c>
      <c r="AE36" s="4">
        <v>48516</v>
      </c>
      <c r="AF36" s="4">
        <v>312163</v>
      </c>
      <c r="AG36" s="4"/>
      <c r="AH36" s="4"/>
      <c r="AJ36" s="4"/>
      <c r="AK36" s="4"/>
      <c r="AL36" s="4"/>
      <c r="AM36" s="4"/>
      <c r="AO36" s="4"/>
      <c r="AP36" s="10"/>
      <c r="AQ36" s="4"/>
      <c r="AR36" s="4"/>
      <c r="AS36" s="4"/>
      <c r="AT36" s="4"/>
      <c r="AU36" s="4"/>
      <c r="AW36" s="4"/>
      <c r="AX36" s="4">
        <v>11303</v>
      </c>
      <c r="AY36" s="4"/>
      <c r="AZ36" s="4"/>
      <c r="BA36" s="4">
        <v>23744</v>
      </c>
      <c r="BB36" s="4"/>
      <c r="BC36" s="4"/>
      <c r="BD36" s="4"/>
      <c r="BE36" s="4"/>
      <c r="BF36" s="4"/>
      <c r="BH36" s="4">
        <v>36502</v>
      </c>
      <c r="BI36" s="4"/>
      <c r="BJ36" s="4"/>
      <c r="BK36" s="4"/>
      <c r="BL36" s="4"/>
      <c r="BM36" s="4">
        <v>19478</v>
      </c>
      <c r="BN36" s="4">
        <v>20865</v>
      </c>
      <c r="BO36" s="4"/>
      <c r="BP36" s="4"/>
      <c r="BQ36" s="4"/>
      <c r="BS36" s="10"/>
      <c r="BT36" s="4"/>
      <c r="BU36" s="4"/>
      <c r="BV36" s="4"/>
      <c r="BW36" s="4"/>
      <c r="CA36" s="4">
        <v>93920</v>
      </c>
      <c r="CB36" s="4"/>
      <c r="CC36" s="4">
        <v>18050</v>
      </c>
      <c r="CD36" s="4"/>
      <c r="CE36" s="4"/>
      <c r="CF36" s="4"/>
      <c r="CG36" s="4"/>
      <c r="CH36" s="4"/>
      <c r="CI36" s="4"/>
      <c r="CJ36" s="10"/>
      <c r="CK36" s="4"/>
      <c r="CL36" s="10"/>
      <c r="CN36" s="4"/>
      <c r="CO36" s="10"/>
      <c r="CP36" s="4"/>
      <c r="CQ36" s="4">
        <v>16290</v>
      </c>
      <c r="CR36" s="10"/>
      <c r="CS36" s="4"/>
      <c r="CT36" s="4"/>
      <c r="CU36" s="4">
        <v>18885</v>
      </c>
      <c r="CV36" s="4"/>
      <c r="CW36" s="4"/>
      <c r="CX36" s="4"/>
      <c r="CY36" s="77">
        <f t="shared" si="12"/>
        <v>-1.7429179862048525E-3</v>
      </c>
      <c r="CZ36" s="8">
        <f t="shared" si="28"/>
        <v>619716</v>
      </c>
      <c r="DA36" s="2"/>
      <c r="DH36" s="4"/>
      <c r="DJ36" s="4"/>
      <c r="DX36" s="2"/>
      <c r="DY36" s="32"/>
      <c r="DZ36" s="4">
        <v>5</v>
      </c>
      <c r="EA36" s="32"/>
      <c r="EB36" s="32"/>
      <c r="EC36" s="32"/>
      <c r="ED36" s="32"/>
      <c r="EE36" s="4"/>
      <c r="EF36" s="4"/>
      <c r="EG36" s="32"/>
      <c r="EH36" s="32"/>
      <c r="EI36" s="32"/>
      <c r="EJ36" s="32"/>
      <c r="EK36" s="5"/>
      <c r="EO36" s="2"/>
      <c r="EQ36" s="468" t="s">
        <v>1</v>
      </c>
      <c r="ER36"/>
      <c r="ES36" s="3" t="s">
        <v>295</v>
      </c>
      <c r="ET36" s="10"/>
      <c r="EU36" s="10"/>
      <c r="EV36" s="10"/>
      <c r="EW36" s="10"/>
      <c r="EX36" s="4">
        <v>4422</v>
      </c>
      <c r="EY36" s="4">
        <v>22213</v>
      </c>
      <c r="EZ36" s="4">
        <v>16734</v>
      </c>
      <c r="FA36" s="4">
        <v>20185</v>
      </c>
      <c r="FB36" s="4"/>
      <c r="FC36" s="4"/>
      <c r="FD36" s="4"/>
      <c r="FE36" s="4"/>
      <c r="FF36" s="4"/>
      <c r="FG36" s="4"/>
      <c r="FH36" s="10">
        <v>17212</v>
      </c>
      <c r="FI36" s="10">
        <v>19748</v>
      </c>
      <c r="FJ36" s="10"/>
      <c r="FK36" s="10"/>
      <c r="FL36" s="10"/>
      <c r="FM36" s="10">
        <v>21123</v>
      </c>
      <c r="FN36" s="4"/>
      <c r="FO36" s="4"/>
      <c r="FP36" s="10">
        <v>18165</v>
      </c>
      <c r="FQ36" s="4"/>
      <c r="FR36" s="4"/>
      <c r="FS36" s="10">
        <v>20082</v>
      </c>
      <c r="FT36" s="4">
        <v>19011</v>
      </c>
      <c r="FU36" s="4">
        <v>13128</v>
      </c>
      <c r="FV36" s="4"/>
      <c r="FW36" s="4"/>
      <c r="FX36" s="4"/>
      <c r="FY36" s="4"/>
      <c r="FZ36" s="10">
        <v>21503</v>
      </c>
      <c r="GA36" s="10">
        <v>23582</v>
      </c>
      <c r="GB36" s="10"/>
      <c r="GC36" s="10"/>
      <c r="GD36" s="4"/>
      <c r="GE36" s="4"/>
      <c r="GF36" s="4">
        <v>15421</v>
      </c>
      <c r="GG36" s="4"/>
      <c r="GH36" s="4"/>
      <c r="GI36" s="4"/>
      <c r="GJ36" s="4"/>
      <c r="GK36" s="4"/>
      <c r="GL36" s="4"/>
      <c r="GM36" s="4">
        <v>14655</v>
      </c>
      <c r="GN36" s="10">
        <v>16523</v>
      </c>
      <c r="GO36" s="10">
        <v>23902</v>
      </c>
      <c r="GP36" s="4"/>
      <c r="GQ36" s="10"/>
      <c r="GR36" s="4">
        <v>22669</v>
      </c>
      <c r="GS36" s="10"/>
      <c r="GT36" s="4"/>
      <c r="GU36" s="10"/>
      <c r="GV36" s="4"/>
      <c r="GW36" s="10"/>
      <c r="GX36" s="10">
        <v>20124</v>
      </c>
      <c r="GY36" s="10"/>
      <c r="GZ36" s="10"/>
      <c r="HA36" s="18">
        <v>43282</v>
      </c>
      <c r="HB36" s="4">
        <v>2000</v>
      </c>
      <c r="HC36" s="77">
        <f t="shared" si="22"/>
        <v>-2.0300219790924213E-2</v>
      </c>
      <c r="HD36" s="8">
        <f t="shared" si="29"/>
        <v>350402</v>
      </c>
      <c r="HE36" s="2"/>
      <c r="HF36" s="3" t="s">
        <v>295</v>
      </c>
      <c r="HG36" s="4">
        <f>8340+146.67</f>
        <v>8486.67</v>
      </c>
      <c r="HH36" s="4"/>
      <c r="HI36" s="4"/>
      <c r="HJ36" s="4"/>
      <c r="HK36" s="4"/>
      <c r="HL36" s="4"/>
      <c r="HM36" s="4"/>
      <c r="HN36" s="4"/>
      <c r="HO36" s="4"/>
      <c r="HP36" s="4">
        <v>16196</v>
      </c>
      <c r="HQ36" s="4"/>
      <c r="HR36" s="4"/>
      <c r="HS36" s="4"/>
      <c r="HT36" s="10">
        <v>14948</v>
      </c>
      <c r="HU36" s="10"/>
      <c r="HV36" s="4"/>
      <c r="HW36" s="4"/>
      <c r="HX36" s="4"/>
      <c r="HY36" s="4"/>
      <c r="HZ36" s="4"/>
      <c r="IA36" s="4"/>
      <c r="IB36" s="4"/>
      <c r="IC36" s="4">
        <v>19240</v>
      </c>
      <c r="ID36" s="10">
        <v>18342</v>
      </c>
      <c r="IE36" s="4"/>
      <c r="IF36" s="10"/>
      <c r="IG36" s="4"/>
      <c r="IH36" s="4"/>
      <c r="II36" s="4"/>
      <c r="IJ36" s="4"/>
      <c r="IK36" s="4"/>
      <c r="IL36" s="4"/>
      <c r="IM36" s="4"/>
      <c r="IN36" s="4"/>
      <c r="IO36" s="4"/>
      <c r="IP36" s="4"/>
      <c r="IQ36" s="4"/>
      <c r="IR36" s="4">
        <v>19478</v>
      </c>
      <c r="IS36" s="4">
        <v>20865</v>
      </c>
      <c r="IT36" s="10">
        <v>24855</v>
      </c>
      <c r="IU36" s="4"/>
      <c r="IV36" s="4"/>
      <c r="IW36" s="4"/>
      <c r="IX36" s="10">
        <v>20840</v>
      </c>
      <c r="IY36" s="4"/>
      <c r="IZ36" s="4"/>
      <c r="JA36" s="4"/>
      <c r="JB36" s="4"/>
      <c r="JC36" s="4"/>
      <c r="JD36" s="4"/>
      <c r="JE36" s="4"/>
      <c r="JF36" s="10"/>
      <c r="JG36" s="10"/>
      <c r="JH36" s="10"/>
      <c r="JI36" s="4"/>
      <c r="JJ36" s="4"/>
      <c r="JK36" s="4"/>
      <c r="JL36" s="4">
        <v>18210</v>
      </c>
      <c r="JM36" s="4"/>
      <c r="JN36" s="10"/>
      <c r="JO36" s="10"/>
      <c r="JP36" s="4"/>
      <c r="JQ36" s="4"/>
      <c r="JR36" s="4"/>
      <c r="JS36" s="4"/>
      <c r="JT36" s="4"/>
      <c r="JU36" s="10"/>
      <c r="JV36" s="4"/>
      <c r="JW36" s="4"/>
      <c r="JX36" s="4"/>
      <c r="JY36" s="4"/>
      <c r="JZ36" s="4"/>
      <c r="KA36" s="4"/>
      <c r="KB36" s="4"/>
      <c r="KC36" s="4"/>
      <c r="KD36" s="10">
        <v>16689</v>
      </c>
      <c r="KE36" s="10">
        <v>21167</v>
      </c>
      <c r="KF36" s="10">
        <v>15826</v>
      </c>
      <c r="KG36" s="4"/>
      <c r="KH36" s="10"/>
      <c r="KI36" s="10"/>
      <c r="KJ36" s="10">
        <v>16829</v>
      </c>
      <c r="KK36" s="10">
        <v>22166</v>
      </c>
      <c r="KL36" s="4">
        <v>16290</v>
      </c>
      <c r="KM36" s="10">
        <v>13705</v>
      </c>
      <c r="KN36" s="4"/>
      <c r="KO36" s="4"/>
      <c r="KP36" s="4">
        <v>18885</v>
      </c>
      <c r="KQ36" s="4"/>
      <c r="KR36" s="10"/>
      <c r="KS36" s="4">
        <v>19942</v>
      </c>
      <c r="KT36" s="4"/>
      <c r="KU36" s="4"/>
      <c r="KV36" s="4"/>
      <c r="KW36" s="4"/>
      <c r="KX36" s="18"/>
      <c r="KY36" s="4"/>
      <c r="KZ36" s="77">
        <f t="shared" si="23"/>
        <v>-1.6264607176662983E-2</v>
      </c>
      <c r="LA36" s="8">
        <f t="shared" si="30"/>
        <v>342959.67</v>
      </c>
      <c r="LB36" s="2"/>
      <c r="LC36" s="43"/>
      <c r="MO36" s="172"/>
      <c r="NO36" s="77"/>
      <c r="NP36" s="63"/>
      <c r="NQ36"/>
      <c r="NR36" s="77" t="e">
        <f t="shared" si="24"/>
        <v>#DIV/0!</v>
      </c>
      <c r="NS36" s="8">
        <f t="shared" si="4"/>
        <v>0</v>
      </c>
      <c r="NT36" s="2"/>
      <c r="NU36" s="3" t="s">
        <v>295</v>
      </c>
      <c r="NV36" s="4">
        <v>5</v>
      </c>
      <c r="NW36" s="4"/>
      <c r="NX36" s="4"/>
      <c r="NY36" s="4"/>
      <c r="NZ36" s="4"/>
      <c r="OA36" s="4"/>
      <c r="OB36" s="4"/>
      <c r="OC36" s="4">
        <v>26889</v>
      </c>
      <c r="OD36" s="4"/>
      <c r="OE36" s="77">
        <f t="shared" si="25"/>
        <v>-4.0014278065322151E-2</v>
      </c>
      <c r="OF36" s="8">
        <f t="shared" si="5"/>
        <v>26894</v>
      </c>
      <c r="OG36" s="2"/>
      <c r="OJ36" s="40"/>
      <c r="OK36" s="40"/>
      <c r="OL36" s="40"/>
      <c r="OM36" s="40"/>
      <c r="ON36" s="40"/>
      <c r="OO36" s="40"/>
      <c r="OQ36" s="40"/>
      <c r="OR36" s="77"/>
      <c r="OS36" s="35"/>
      <c r="OT36" s="37"/>
      <c r="OU36" s="126">
        <f t="shared" si="31"/>
        <v>778929</v>
      </c>
      <c r="OV36" s="71">
        <f t="shared" si="9"/>
        <v>-6.5707497057064254E-3</v>
      </c>
      <c r="OW36" s="139">
        <f>IF(A36="","",SUM(Z$17:Z36))</f>
        <v>20000</v>
      </c>
      <c r="OX36" s="139">
        <f t="shared" si="32"/>
        <v>798929</v>
      </c>
      <c r="OY36" s="132">
        <f t="shared" si="33"/>
        <v>0.11959265067146495</v>
      </c>
      <c r="OZ36" s="140">
        <f t="shared" si="34"/>
        <v>693361.66999999993</v>
      </c>
      <c r="PA36" s="84">
        <f t="shared" si="15"/>
        <v>-1.8308218790276883E-2</v>
      </c>
      <c r="PB36" s="130">
        <f>IF(A36="","",SUM(HB$17:HB36)+SUM(KY$17:KY36))</f>
        <v>41682.810000000005</v>
      </c>
      <c r="PC36" s="131">
        <f t="shared" si="35"/>
        <v>735044.48</v>
      </c>
      <c r="PD36" s="132">
        <f t="shared" si="36"/>
        <v>0.11282530002831095</v>
      </c>
      <c r="PE36" s="133"/>
      <c r="PF36" s="134"/>
      <c r="PG36" s="133"/>
      <c r="PH36" s="134"/>
      <c r="PI36" s="135">
        <f t="shared" si="37"/>
        <v>1472290.67</v>
      </c>
      <c r="PJ36" s="136">
        <f t="shared" si="10"/>
        <v>-1.2133172270365495E-2</v>
      </c>
      <c r="PK36" s="123"/>
      <c r="PL36" s="137">
        <f t="shared" si="38"/>
        <v>61682.810000000005</v>
      </c>
      <c r="PM36" s="9">
        <f t="shared" si="39"/>
        <v>1533973.48</v>
      </c>
      <c r="PN36" s="138">
        <f t="shared" si="40"/>
        <v>0.11633965257512134</v>
      </c>
      <c r="PO36" s="86">
        <f>IF(PI36="","",MAX(PI$15:PI36))</f>
        <v>1499325</v>
      </c>
      <c r="PP36" s="113">
        <f t="shared" si="11"/>
        <v>-1.8362087426662885E-2</v>
      </c>
      <c r="PQ36" s="41"/>
      <c r="PR36" s="302"/>
    </row>
    <row r="37" spans="1:434" s="1" customFormat="1" ht="15" customHeight="1" x14ac:dyDescent="0.45">
      <c r="A37" s="18"/>
      <c r="B37" s="3" t="s">
        <v>295</v>
      </c>
      <c r="C37" s="4"/>
      <c r="D37" s="10"/>
      <c r="E37" s="10"/>
      <c r="F37" s="10"/>
      <c r="G37" s="4"/>
      <c r="H37" s="4"/>
      <c r="I37" s="4"/>
      <c r="J37" s="4"/>
      <c r="K37" s="4"/>
      <c r="L37" s="4"/>
      <c r="M37" s="4"/>
      <c r="N37" s="4"/>
      <c r="O37" s="10"/>
      <c r="P37" s="4"/>
      <c r="Q37" s="4"/>
      <c r="R37" s="4"/>
      <c r="S37" s="4"/>
      <c r="T37" s="4"/>
      <c r="U37" s="10"/>
      <c r="V37" s="10"/>
      <c r="W37" s="10"/>
      <c r="X37" s="4"/>
      <c r="Y37" s="18"/>
      <c r="Z37" s="4"/>
      <c r="AA37" s="77" t="str">
        <f t="shared" si="21"/>
        <v/>
      </c>
      <c r="AB37" s="8" t="str">
        <f t="shared" si="27"/>
        <v/>
      </c>
      <c r="AC37" s="2"/>
      <c r="AD37" s="3"/>
      <c r="AE37" s="4"/>
      <c r="AF37" s="4"/>
      <c r="AG37" s="4"/>
      <c r="AH37" s="4"/>
      <c r="AJ37" s="4"/>
      <c r="AK37" s="4"/>
      <c r="AL37" s="4"/>
      <c r="AM37" s="4"/>
      <c r="AO37" s="4"/>
      <c r="AP37" s="10"/>
      <c r="AQ37" s="4"/>
      <c r="AR37" s="4"/>
      <c r="AS37" s="4"/>
      <c r="AT37" s="4"/>
      <c r="AU37" s="4"/>
      <c r="AW37" s="4"/>
      <c r="AX37" s="4"/>
      <c r="AY37" s="4"/>
      <c r="AZ37" s="4"/>
      <c r="BA37" s="4"/>
      <c r="BB37" s="4"/>
      <c r="BC37" s="4"/>
      <c r="BD37" s="4"/>
      <c r="BE37" s="4"/>
      <c r="BF37" s="4"/>
      <c r="BH37" s="4"/>
      <c r="BI37" s="4"/>
      <c r="BJ37" s="4"/>
      <c r="BK37" s="4"/>
      <c r="BL37" s="4"/>
      <c r="BM37" s="4"/>
      <c r="BN37" s="4"/>
      <c r="BO37" s="4"/>
      <c r="BP37" s="4"/>
      <c r="BQ37" s="4"/>
      <c r="BS37" s="10"/>
      <c r="BT37" s="4"/>
      <c r="BU37" s="4"/>
      <c r="BV37" s="4"/>
      <c r="BW37" s="4"/>
      <c r="CA37" s="4"/>
      <c r="CB37" s="4"/>
      <c r="CC37" s="4"/>
      <c r="CD37" s="4"/>
      <c r="CE37" s="4"/>
      <c r="CF37" s="4"/>
      <c r="CG37" s="4"/>
      <c r="CH37" s="4"/>
      <c r="CI37" s="4"/>
      <c r="CJ37" s="10"/>
      <c r="CK37" s="4"/>
      <c r="CL37" s="10"/>
      <c r="CN37" s="4"/>
      <c r="CO37" s="10"/>
      <c r="CP37" s="4"/>
      <c r="CQ37" s="4"/>
      <c r="CR37" s="10"/>
      <c r="CS37" s="4"/>
      <c r="CT37" s="4"/>
      <c r="CU37" s="4"/>
      <c r="CV37" s="4"/>
      <c r="CW37" s="4"/>
      <c r="CX37" s="4"/>
      <c r="CY37" s="77" t="str">
        <f t="shared" si="12"/>
        <v/>
      </c>
      <c r="CZ37" s="8" t="str">
        <f t="shared" si="28"/>
        <v/>
      </c>
      <c r="DA37" s="2"/>
      <c r="DH37" s="4"/>
      <c r="DJ37" s="4"/>
      <c r="DX37" s="2"/>
      <c r="DY37" s="32"/>
      <c r="DZ37" s="4"/>
      <c r="EA37" s="32"/>
      <c r="EB37" s="32"/>
      <c r="EC37" s="32"/>
      <c r="ED37" s="32"/>
      <c r="EE37" s="4"/>
      <c r="EF37" s="4"/>
      <c r="EG37" s="32"/>
      <c r="EH37" s="32"/>
      <c r="EI37" s="32"/>
      <c r="EJ37" s="32"/>
      <c r="EK37" s="5"/>
      <c r="EO37" s="2"/>
      <c r="EQ37" s="468" t="s">
        <v>1</v>
      </c>
      <c r="ER37"/>
      <c r="ES37" s="6" t="s">
        <v>318</v>
      </c>
      <c r="ET37" s="10"/>
      <c r="EU37" s="10"/>
      <c r="EV37" s="10"/>
      <c r="EW37" s="10"/>
      <c r="EX37" s="4"/>
      <c r="EY37" s="4"/>
      <c r="EZ37" s="4"/>
      <c r="FA37" s="4"/>
      <c r="FB37" s="4"/>
      <c r="FC37" s="4"/>
      <c r="FD37" s="4"/>
      <c r="FE37" s="4"/>
      <c r="FF37" s="4"/>
      <c r="FG37" s="4"/>
      <c r="FH37" s="10"/>
      <c r="FI37" s="10"/>
      <c r="FJ37" s="10"/>
      <c r="FK37" s="10"/>
      <c r="FL37" s="10"/>
      <c r="FM37" s="10"/>
      <c r="FN37" s="4"/>
      <c r="FO37" s="4"/>
      <c r="FP37" s="10"/>
      <c r="FQ37" s="4"/>
      <c r="FR37" s="4"/>
      <c r="FS37" s="10"/>
      <c r="FT37" s="4"/>
      <c r="FU37" s="4"/>
      <c r="FV37" s="4"/>
      <c r="FW37" s="4"/>
      <c r="FX37" s="4"/>
      <c r="FY37" s="4"/>
      <c r="FZ37" s="10"/>
      <c r="GA37" s="10"/>
      <c r="GB37" s="10"/>
      <c r="GC37" s="10"/>
      <c r="GD37" s="4"/>
      <c r="GE37" s="4"/>
      <c r="GF37" s="4"/>
      <c r="GG37" s="4"/>
      <c r="GH37" s="4"/>
      <c r="GI37" s="4"/>
      <c r="GJ37" s="4"/>
      <c r="GK37" s="4"/>
      <c r="GL37" s="4"/>
      <c r="GM37" s="4"/>
      <c r="GN37" s="10"/>
      <c r="GO37" s="10"/>
      <c r="GP37" s="4"/>
      <c r="GQ37" s="10"/>
      <c r="GR37" s="4"/>
      <c r="GS37" s="10"/>
      <c r="GT37" s="4"/>
      <c r="GU37" s="10"/>
      <c r="GV37" s="4"/>
      <c r="GW37" s="10"/>
      <c r="GX37" s="10"/>
      <c r="GY37" s="10"/>
      <c r="GZ37" s="10"/>
      <c r="HA37" s="18">
        <v>43287</v>
      </c>
      <c r="HB37" s="4">
        <v>870.76</v>
      </c>
      <c r="HC37" s="77" t="str">
        <f t="shared" si="22"/>
        <v/>
      </c>
      <c r="HD37" s="8" t="str">
        <f t="shared" si="29"/>
        <v/>
      </c>
      <c r="HE37" s="2"/>
      <c r="HF37" s="3" t="s">
        <v>319</v>
      </c>
      <c r="HG37" s="4"/>
      <c r="HH37" s="4"/>
      <c r="HI37" s="4"/>
      <c r="HJ37" s="4"/>
      <c r="HK37" s="4"/>
      <c r="HL37" s="4"/>
      <c r="HM37" s="4"/>
      <c r="HN37" s="4"/>
      <c r="HO37" s="4"/>
      <c r="HP37" s="4"/>
      <c r="HQ37" s="4"/>
      <c r="HR37" s="4"/>
      <c r="HS37" s="4"/>
      <c r="HT37" s="10"/>
      <c r="HU37" s="10"/>
      <c r="HV37" s="4"/>
      <c r="HW37" s="4"/>
      <c r="HX37" s="4"/>
      <c r="HY37" s="4"/>
      <c r="HZ37" s="4"/>
      <c r="IA37" s="4"/>
      <c r="IB37" s="4"/>
      <c r="IC37" s="4"/>
      <c r="ID37" s="10"/>
      <c r="IE37" s="4"/>
      <c r="IF37" s="10"/>
      <c r="IG37" s="4"/>
      <c r="IH37" s="4"/>
      <c r="II37" s="4"/>
      <c r="IJ37" s="4"/>
      <c r="IK37" s="4"/>
      <c r="IL37" s="4"/>
      <c r="IM37" s="4"/>
      <c r="IN37" s="4"/>
      <c r="IO37" s="4"/>
      <c r="IP37" s="4"/>
      <c r="IQ37" s="4"/>
      <c r="IR37" s="4"/>
      <c r="IS37" s="4"/>
      <c r="IT37" s="10"/>
      <c r="IU37" s="4"/>
      <c r="IV37" s="4"/>
      <c r="IW37" s="4"/>
      <c r="IX37" s="10"/>
      <c r="IY37" s="4"/>
      <c r="IZ37" s="4"/>
      <c r="JA37" s="4"/>
      <c r="JB37" s="4"/>
      <c r="JC37" s="4"/>
      <c r="JD37" s="4"/>
      <c r="JE37" s="4"/>
      <c r="JF37" s="10"/>
      <c r="JG37" s="10"/>
      <c r="JH37" s="10"/>
      <c r="JI37" s="4"/>
      <c r="JJ37" s="4"/>
      <c r="JK37" s="4"/>
      <c r="JL37" s="4"/>
      <c r="JM37" s="4"/>
      <c r="JN37" s="10"/>
      <c r="JO37" s="10"/>
      <c r="JP37" s="4"/>
      <c r="JQ37" s="4"/>
      <c r="JR37" s="4"/>
      <c r="JS37" s="4"/>
      <c r="JT37" s="4"/>
      <c r="JU37" s="10"/>
      <c r="JV37" s="4"/>
      <c r="JW37" s="4"/>
      <c r="JX37" s="4"/>
      <c r="JY37" s="4"/>
      <c r="JZ37" s="4"/>
      <c r="KA37" s="4"/>
      <c r="KB37" s="4"/>
      <c r="KC37" s="4"/>
      <c r="KD37" s="10"/>
      <c r="KE37" s="10"/>
      <c r="KF37" s="10"/>
      <c r="KG37" s="4"/>
      <c r="KH37" s="10"/>
      <c r="KI37" s="10"/>
      <c r="KJ37" s="10"/>
      <c r="KK37" s="10"/>
      <c r="KL37" s="4"/>
      <c r="KM37" s="10"/>
      <c r="KN37" s="4"/>
      <c r="KO37" s="4"/>
      <c r="KP37" s="4"/>
      <c r="KQ37" s="4"/>
      <c r="KR37" s="10"/>
      <c r="KS37" s="4"/>
      <c r="KT37" s="4"/>
      <c r="KU37" s="4"/>
      <c r="KV37" s="4"/>
      <c r="KW37" s="4"/>
      <c r="KX37" s="18">
        <v>43287</v>
      </c>
      <c r="KY37" s="31">
        <v>857.03</v>
      </c>
      <c r="KZ37" s="77" t="str">
        <f t="shared" si="23"/>
        <v/>
      </c>
      <c r="LA37" s="8" t="str">
        <f t="shared" si="30"/>
        <v/>
      </c>
      <c r="LB37" s="2"/>
      <c r="LC37" s="43"/>
      <c r="MO37" s="172"/>
      <c r="NO37" s="77"/>
      <c r="NP37" s="63"/>
      <c r="NQ37"/>
      <c r="NR37" s="77" t="str">
        <f t="shared" si="24"/>
        <v/>
      </c>
      <c r="NS37" s="8" t="str">
        <f t="shared" si="4"/>
        <v/>
      </c>
      <c r="NT37" s="2"/>
      <c r="NU37" s="7"/>
      <c r="NV37" s="4"/>
      <c r="NW37" s="4"/>
      <c r="NX37" s="4"/>
      <c r="NY37" s="4"/>
      <c r="NZ37" s="4"/>
      <c r="OA37" s="4"/>
      <c r="OB37" s="4"/>
      <c r="OC37" s="4"/>
      <c r="OD37" s="4"/>
      <c r="OE37" s="77" t="str">
        <f t="shared" si="25"/>
        <v/>
      </c>
      <c r="OF37" s="8" t="str">
        <f t="shared" si="5"/>
        <v/>
      </c>
      <c r="OG37" s="2"/>
      <c r="OJ37" s="40"/>
      <c r="OK37" s="40"/>
      <c r="OL37" s="40"/>
      <c r="OM37" s="40"/>
      <c r="ON37" s="40"/>
      <c r="OO37" s="40"/>
      <c r="OQ37" s="40"/>
      <c r="OR37" s="77"/>
      <c r="OS37" s="35"/>
      <c r="OT37" s="37"/>
      <c r="OU37" s="126" t="str">
        <f t="shared" si="31"/>
        <v/>
      </c>
      <c r="OV37" s="71" t="str">
        <f t="shared" si="9"/>
        <v/>
      </c>
      <c r="OW37" s="139" t="str">
        <f>IF(A37="","",SUM(Z$17:Z37))</f>
        <v/>
      </c>
      <c r="OX37" s="139" t="str">
        <f t="shared" si="32"/>
        <v/>
      </c>
      <c r="OY37" s="132" t="str">
        <f t="shared" si="33"/>
        <v/>
      </c>
      <c r="OZ37" s="140" t="str">
        <f t="shared" si="34"/>
        <v/>
      </c>
      <c r="PA37" s="84" t="str">
        <f t="shared" si="15"/>
        <v/>
      </c>
      <c r="PB37" s="130" t="str">
        <f>IF(A37="","",SUM(HB$17:HB37)+SUM(KY$17:KY37))</f>
        <v/>
      </c>
      <c r="PC37" s="131" t="str">
        <f t="shared" si="35"/>
        <v/>
      </c>
      <c r="PD37" s="132" t="str">
        <f t="shared" si="36"/>
        <v/>
      </c>
      <c r="PE37" s="133"/>
      <c r="PF37" s="134"/>
      <c r="PG37" s="133"/>
      <c r="PH37" s="134"/>
      <c r="PI37" s="135" t="str">
        <f t="shared" si="37"/>
        <v/>
      </c>
      <c r="PJ37" s="136" t="str">
        <f t="shared" si="10"/>
        <v/>
      </c>
      <c r="PK37" s="123"/>
      <c r="PL37" s="137" t="str">
        <f t="shared" si="38"/>
        <v/>
      </c>
      <c r="PM37" s="9" t="str">
        <f t="shared" si="39"/>
        <v/>
      </c>
      <c r="PN37" s="138" t="str">
        <f t="shared" si="40"/>
        <v/>
      </c>
      <c r="PO37" s="86" t="str">
        <f>IF(PI37="","",MAX(PI$15:PI37))</f>
        <v/>
      </c>
      <c r="PP37" s="113" t="str">
        <f t="shared" si="11"/>
        <v/>
      </c>
      <c r="PQ37" s="41"/>
      <c r="PR37" s="302"/>
    </row>
    <row r="38" spans="1:434" s="1" customFormat="1" ht="15" customHeight="1" x14ac:dyDescent="0.45">
      <c r="A38" s="18">
        <v>43314</v>
      </c>
      <c r="B38" s="3" t="s">
        <v>295</v>
      </c>
      <c r="C38" s="4">
        <v>20946</v>
      </c>
      <c r="D38" s="10"/>
      <c r="E38" s="10"/>
      <c r="F38" s="10"/>
      <c r="G38" s="4"/>
      <c r="H38" s="4"/>
      <c r="I38" s="4">
        <v>19416</v>
      </c>
      <c r="J38" s="4">
        <v>13438</v>
      </c>
      <c r="K38" s="4"/>
      <c r="L38" s="4"/>
      <c r="M38" s="4"/>
      <c r="N38" s="4"/>
      <c r="O38" s="10"/>
      <c r="P38" s="4"/>
      <c r="Q38" s="4"/>
      <c r="R38" s="4">
        <v>27987</v>
      </c>
      <c r="S38" s="4"/>
      <c r="T38" s="4"/>
      <c r="U38" s="10">
        <v>51520</v>
      </c>
      <c r="V38" s="10"/>
      <c r="W38" s="10"/>
      <c r="X38" s="4"/>
      <c r="Y38" s="18">
        <f t="shared" ref="Y38:Y47" si="41">IF(HA38="","",HA38)</f>
        <v>43313</v>
      </c>
      <c r="Z38" s="4"/>
      <c r="AA38" s="77" t="e">
        <f t="shared" si="21"/>
        <v>#VALUE!</v>
      </c>
      <c r="AB38" s="8">
        <f t="shared" si="27"/>
        <v>133307</v>
      </c>
      <c r="AC38" s="2"/>
      <c r="AD38" s="3" t="s">
        <v>295</v>
      </c>
      <c r="AE38" s="4">
        <v>49471</v>
      </c>
      <c r="AF38" s="4">
        <v>313188</v>
      </c>
      <c r="AG38" s="4"/>
      <c r="AH38" s="4"/>
      <c r="AJ38" s="4"/>
      <c r="AK38" s="4"/>
      <c r="AL38" s="4"/>
      <c r="AM38" s="4"/>
      <c r="AO38" s="4"/>
      <c r="AP38" s="10"/>
      <c r="AQ38" s="4"/>
      <c r="AR38" s="4"/>
      <c r="AS38" s="4"/>
      <c r="AT38" s="4"/>
      <c r="AU38" s="4"/>
      <c r="AW38" s="4"/>
      <c r="AX38" s="4">
        <v>11531</v>
      </c>
      <c r="AY38" s="4"/>
      <c r="AZ38" s="4"/>
      <c r="BA38" s="4">
        <v>23754</v>
      </c>
      <c r="BB38" s="4"/>
      <c r="BC38" s="4"/>
      <c r="BD38" s="4"/>
      <c r="BE38" s="4"/>
      <c r="BF38" s="4"/>
      <c r="BH38" s="4">
        <v>36497</v>
      </c>
      <c r="BI38" s="4"/>
      <c r="BJ38" s="4"/>
      <c r="BK38" s="4"/>
      <c r="BL38" s="4"/>
      <c r="BM38" s="4">
        <v>19756</v>
      </c>
      <c r="BN38" s="4">
        <v>21533</v>
      </c>
      <c r="BO38" s="4"/>
      <c r="BP38" s="4"/>
      <c r="BQ38" s="4"/>
      <c r="BS38" s="10"/>
      <c r="BT38" s="4"/>
      <c r="BU38" s="4"/>
      <c r="BV38" s="4"/>
      <c r="BW38" s="4"/>
      <c r="CA38" s="4">
        <v>94807</v>
      </c>
      <c r="CB38" s="4"/>
      <c r="CC38" s="4">
        <v>18113</v>
      </c>
      <c r="CD38" s="4"/>
      <c r="CE38" s="4"/>
      <c r="CF38" s="4"/>
      <c r="CG38" s="4"/>
      <c r="CH38" s="4"/>
      <c r="CI38" s="4"/>
      <c r="CJ38" s="10"/>
      <c r="CK38" s="4"/>
      <c r="CL38" s="10"/>
      <c r="CN38" s="4"/>
      <c r="CO38" s="10"/>
      <c r="CP38" s="4"/>
      <c r="CQ38" s="4">
        <v>16504</v>
      </c>
      <c r="CR38" s="10"/>
      <c r="CS38" s="4"/>
      <c r="CT38" s="4"/>
      <c r="CU38" s="4">
        <v>19024</v>
      </c>
      <c r="CV38" s="4"/>
      <c r="CW38" s="4"/>
      <c r="CX38" s="4"/>
      <c r="CY38" s="77" t="e">
        <f t="shared" si="12"/>
        <v>#VALUE!</v>
      </c>
      <c r="CZ38" s="8">
        <f t="shared" si="28"/>
        <v>624178</v>
      </c>
      <c r="DA38" s="2"/>
      <c r="DH38" s="4"/>
      <c r="DJ38" s="4"/>
      <c r="DX38" s="2"/>
      <c r="DY38" s="32"/>
      <c r="DZ38" s="4">
        <v>5</v>
      </c>
      <c r="EA38" s="32"/>
      <c r="EB38" s="32"/>
      <c r="EC38" s="32"/>
      <c r="ED38" s="32"/>
      <c r="EE38" s="4"/>
      <c r="EF38" s="4"/>
      <c r="EG38" s="32"/>
      <c r="EH38" s="32"/>
      <c r="EI38" s="32"/>
      <c r="EJ38" s="32"/>
      <c r="EK38" s="5"/>
      <c r="EO38" s="2"/>
      <c r="EQ38" s="468" t="s">
        <v>1</v>
      </c>
      <c r="ER38"/>
      <c r="ES38" s="3" t="s">
        <v>295</v>
      </c>
      <c r="ET38" s="10"/>
      <c r="EU38" s="10"/>
      <c r="EV38" s="10"/>
      <c r="EW38" s="10"/>
      <c r="EX38" s="4">
        <v>3380</v>
      </c>
      <c r="EY38" s="4">
        <v>24180</v>
      </c>
      <c r="EZ38" s="4">
        <v>16874</v>
      </c>
      <c r="FA38" s="4">
        <v>20547</v>
      </c>
      <c r="FB38" s="4"/>
      <c r="FC38" s="4"/>
      <c r="FD38" s="4"/>
      <c r="FE38" s="4"/>
      <c r="FF38" s="4"/>
      <c r="FG38" s="4"/>
      <c r="FH38" s="10">
        <v>16744</v>
      </c>
      <c r="FI38" s="10">
        <v>20523</v>
      </c>
      <c r="FJ38" s="10"/>
      <c r="FK38" s="10"/>
      <c r="FL38" s="10"/>
      <c r="FM38" s="10">
        <v>21453</v>
      </c>
      <c r="FN38" s="4"/>
      <c r="FO38" s="4"/>
      <c r="FP38" s="10">
        <v>19288</v>
      </c>
      <c r="FQ38" s="4"/>
      <c r="FR38" s="4"/>
      <c r="FS38" s="10">
        <v>20740</v>
      </c>
      <c r="FT38" s="4">
        <v>19416</v>
      </c>
      <c r="FU38" s="4">
        <v>13438</v>
      </c>
      <c r="FV38" s="4"/>
      <c r="FW38" s="4"/>
      <c r="FX38" s="4"/>
      <c r="FY38" s="4"/>
      <c r="FZ38" s="10">
        <v>22041</v>
      </c>
      <c r="GA38" s="10">
        <v>24144</v>
      </c>
      <c r="GB38" s="10"/>
      <c r="GC38" s="10"/>
      <c r="GD38" s="4"/>
      <c r="GE38" s="4"/>
      <c r="GF38" s="4">
        <v>16573</v>
      </c>
      <c r="GG38" s="4"/>
      <c r="GH38" s="4"/>
      <c r="GI38" s="4"/>
      <c r="GJ38" s="4"/>
      <c r="GK38" s="4"/>
      <c r="GL38" s="4"/>
      <c r="GM38" s="4">
        <v>15579</v>
      </c>
      <c r="GN38" s="10">
        <v>17483</v>
      </c>
      <c r="GO38" s="10">
        <v>23475</v>
      </c>
      <c r="GP38" s="4"/>
      <c r="GQ38" s="10"/>
      <c r="GR38" s="4">
        <v>23739</v>
      </c>
      <c r="GS38" s="10"/>
      <c r="GT38" s="4"/>
      <c r="GU38" s="10"/>
      <c r="GV38" s="4"/>
      <c r="GW38" s="10"/>
      <c r="GX38" s="10">
        <v>20692</v>
      </c>
      <c r="GY38" s="10"/>
      <c r="GZ38" s="10"/>
      <c r="HA38" s="18">
        <v>43313</v>
      </c>
      <c r="HB38" s="4">
        <v>2000</v>
      </c>
      <c r="HC38" s="77" t="e">
        <f t="shared" si="22"/>
        <v>#VALUE!</v>
      </c>
      <c r="HD38" s="8">
        <f t="shared" si="29"/>
        <v>360309</v>
      </c>
      <c r="HE38" s="2"/>
      <c r="HF38" s="3" t="s">
        <v>295</v>
      </c>
      <c r="HG38" s="4">
        <v>8928</v>
      </c>
      <c r="HH38" s="4"/>
      <c r="HI38" s="4"/>
      <c r="HJ38" s="4"/>
      <c r="HK38" s="4"/>
      <c r="HL38" s="4"/>
      <c r="HM38" s="4"/>
      <c r="HN38" s="4"/>
      <c r="HO38" s="4"/>
      <c r="HP38" s="4">
        <v>16980</v>
      </c>
      <c r="HQ38" s="4"/>
      <c r="HR38" s="4"/>
      <c r="HS38" s="4"/>
      <c r="HT38" s="10">
        <v>15480</v>
      </c>
      <c r="HU38" s="10"/>
      <c r="HV38" s="4"/>
      <c r="HW38" s="4"/>
      <c r="HX38" s="4"/>
      <c r="HY38" s="4"/>
      <c r="HZ38" s="4"/>
      <c r="IA38" s="4"/>
      <c r="IB38" s="4"/>
      <c r="IC38" s="4">
        <v>18715</v>
      </c>
      <c r="ID38" s="10">
        <v>19770</v>
      </c>
      <c r="IE38" s="4"/>
      <c r="IF38" s="10"/>
      <c r="IG38" s="4"/>
      <c r="IH38" s="4"/>
      <c r="II38" s="4"/>
      <c r="IJ38" s="4"/>
      <c r="IK38" s="4"/>
      <c r="IL38" s="4"/>
      <c r="IM38" s="4"/>
      <c r="IN38" s="4"/>
      <c r="IO38" s="4"/>
      <c r="IP38" s="4"/>
      <c r="IQ38" s="4"/>
      <c r="IR38" s="4">
        <v>19756</v>
      </c>
      <c r="IS38" s="4">
        <v>21533</v>
      </c>
      <c r="IT38" s="10">
        <v>24405</v>
      </c>
      <c r="IU38" s="4"/>
      <c r="IV38" s="4"/>
      <c r="IW38" s="4"/>
      <c r="IX38" s="10">
        <v>23132</v>
      </c>
      <c r="IY38" s="4"/>
      <c r="IZ38" s="4"/>
      <c r="JA38" s="4"/>
      <c r="JB38" s="4"/>
      <c r="JC38" s="4"/>
      <c r="JD38" s="4"/>
      <c r="JE38" s="4"/>
      <c r="JF38" s="10"/>
      <c r="JG38" s="10"/>
      <c r="JH38" s="10"/>
      <c r="JI38" s="4"/>
      <c r="JJ38" s="4"/>
      <c r="JK38" s="4"/>
      <c r="JL38" s="4">
        <v>19647</v>
      </c>
      <c r="JM38" s="4"/>
      <c r="JN38" s="10"/>
      <c r="JO38" s="10"/>
      <c r="JP38" s="4"/>
      <c r="JQ38" s="4"/>
      <c r="JR38" s="4"/>
      <c r="JS38" s="4"/>
      <c r="JT38" s="4"/>
      <c r="JU38" s="10"/>
      <c r="JV38" s="4"/>
      <c r="JW38" s="4"/>
      <c r="JX38" s="4"/>
      <c r="JY38" s="4"/>
      <c r="JZ38" s="4"/>
      <c r="KA38" s="4"/>
      <c r="KB38" s="4"/>
      <c r="KC38" s="4"/>
      <c r="KD38" s="10">
        <v>17018</v>
      </c>
      <c r="KE38" s="10">
        <v>21681</v>
      </c>
      <c r="KF38" s="10">
        <v>15806</v>
      </c>
      <c r="KG38" s="4"/>
      <c r="KH38" s="10"/>
      <c r="KI38" s="10"/>
      <c r="KJ38" s="10">
        <v>17756</v>
      </c>
      <c r="KK38" s="10">
        <v>23356</v>
      </c>
      <c r="KL38" s="4">
        <v>16504</v>
      </c>
      <c r="KM38" s="10">
        <v>13817</v>
      </c>
      <c r="KN38" s="4"/>
      <c r="KO38" s="4"/>
      <c r="KP38" s="4">
        <v>19024</v>
      </c>
      <c r="KQ38" s="4"/>
      <c r="KR38" s="10"/>
      <c r="KS38" s="4">
        <v>20963</v>
      </c>
      <c r="KT38" s="4"/>
      <c r="KU38" s="4"/>
      <c r="KV38" s="4"/>
      <c r="KW38" s="4"/>
      <c r="KX38" s="18"/>
      <c r="KY38" s="31"/>
      <c r="KZ38" s="77" t="e">
        <f t="shared" si="23"/>
        <v>#VALUE!</v>
      </c>
      <c r="LA38" s="8">
        <f t="shared" si="30"/>
        <v>354271</v>
      </c>
      <c r="LB38" s="2"/>
      <c r="LC38" s="43"/>
      <c r="MO38" s="172"/>
      <c r="NO38" s="77"/>
      <c r="NP38" s="63"/>
      <c r="NQ38"/>
      <c r="NR38" s="77" t="e">
        <f t="shared" si="24"/>
        <v>#VALUE!</v>
      </c>
      <c r="NS38" s="8">
        <f t="shared" si="4"/>
        <v>0</v>
      </c>
      <c r="NT38" s="2"/>
      <c r="NU38" s="3" t="s">
        <v>295</v>
      </c>
      <c r="NV38" s="4">
        <v>5</v>
      </c>
      <c r="NW38" s="4"/>
      <c r="NX38" s="4"/>
      <c r="NY38" s="4"/>
      <c r="NZ38" s="4"/>
      <c r="OA38" s="4"/>
      <c r="OB38" s="4"/>
      <c r="OC38" s="4">
        <v>27480</v>
      </c>
      <c r="OD38" s="4"/>
      <c r="OE38" s="77" t="e">
        <f t="shared" si="25"/>
        <v>#VALUE!</v>
      </c>
      <c r="OF38" s="8">
        <f t="shared" si="5"/>
        <v>27485</v>
      </c>
      <c r="OG38" s="2"/>
      <c r="OJ38" s="40"/>
      <c r="OK38" s="40"/>
      <c r="OL38" s="40"/>
      <c r="OM38" s="40"/>
      <c r="ON38" s="40"/>
      <c r="OO38" s="40"/>
      <c r="OQ38" s="40"/>
      <c r="OR38" s="77"/>
      <c r="OS38" s="35"/>
      <c r="OT38" s="37"/>
      <c r="OU38" s="126">
        <f t="shared" si="31"/>
        <v>784970</v>
      </c>
      <c r="OV38" s="71" t="e">
        <f t="shared" si="9"/>
        <v>#VALUE!</v>
      </c>
      <c r="OW38" s="139">
        <f>IF(A38="","",SUM(Z$17:Z38))</f>
        <v>20000</v>
      </c>
      <c r="OX38" s="139">
        <f t="shared" si="32"/>
        <v>804970</v>
      </c>
      <c r="OY38" s="132">
        <f t="shared" si="33"/>
        <v>0.12805830807369509</v>
      </c>
      <c r="OZ38" s="140">
        <f t="shared" si="34"/>
        <v>714580</v>
      </c>
      <c r="PA38" s="84" t="e">
        <f t="shared" si="15"/>
        <v>#VALUE!</v>
      </c>
      <c r="PB38" s="130">
        <f>IF(A38="","",SUM(HB$17:HB38)+SUM(KY$17:KY38))</f>
        <v>45410.600000000006</v>
      </c>
      <c r="PC38" s="131">
        <f t="shared" si="35"/>
        <v>759990.6</v>
      </c>
      <c r="PD38" s="132">
        <f t="shared" si="36"/>
        <v>0.15059263823557462</v>
      </c>
      <c r="PE38" s="133"/>
      <c r="PF38" s="134"/>
      <c r="PG38" s="133"/>
      <c r="PH38" s="134"/>
      <c r="PI38" s="135">
        <f t="shared" si="37"/>
        <v>1499550</v>
      </c>
      <c r="PJ38" s="136" t="e">
        <f t="shared" si="10"/>
        <v>#VALUE!</v>
      </c>
      <c r="PK38" s="123"/>
      <c r="PL38" s="137">
        <f t="shared" si="38"/>
        <v>65410.600000000006</v>
      </c>
      <c r="PM38" s="9">
        <f t="shared" si="39"/>
        <v>1564960.6</v>
      </c>
      <c r="PN38" s="138">
        <f t="shared" si="40"/>
        <v>0.13889033629039896</v>
      </c>
      <c r="PO38" s="86">
        <f>IF(PI38="","",MAX(PI$15:PI38))</f>
        <v>1499550</v>
      </c>
      <c r="PP38" s="113">
        <f t="shared" si="11"/>
        <v>0</v>
      </c>
      <c r="PQ38" s="41"/>
      <c r="PR38" s="302"/>
    </row>
    <row r="39" spans="1:434" s="1" customFormat="1" ht="15" customHeight="1" x14ac:dyDescent="0.45">
      <c r="A39" s="18">
        <v>43345</v>
      </c>
      <c r="B39" s="3" t="s">
        <v>295</v>
      </c>
      <c r="C39" s="4">
        <v>21113</v>
      </c>
      <c r="D39" s="10"/>
      <c r="E39" s="10"/>
      <c r="F39" s="10"/>
      <c r="G39" s="4"/>
      <c r="H39" s="4"/>
      <c r="I39" s="4">
        <v>19113</v>
      </c>
      <c r="J39" s="4">
        <v>13078</v>
      </c>
      <c r="K39" s="4"/>
      <c r="L39" s="4"/>
      <c r="M39" s="4"/>
      <c r="N39" s="4"/>
      <c r="O39" s="10"/>
      <c r="P39" s="4"/>
      <c r="Q39" s="4"/>
      <c r="R39" s="4">
        <v>26760</v>
      </c>
      <c r="S39" s="4"/>
      <c r="T39" s="4"/>
      <c r="U39" s="10">
        <v>51520</v>
      </c>
      <c r="V39" s="10"/>
      <c r="W39" s="10"/>
      <c r="X39" s="4"/>
      <c r="Y39" s="18">
        <f t="shared" si="41"/>
        <v>43344</v>
      </c>
      <c r="Z39" s="4"/>
      <c r="AA39" s="77">
        <f t="shared" si="21"/>
        <v>-1.2925052697907837E-2</v>
      </c>
      <c r="AB39" s="8">
        <f t="shared" si="27"/>
        <v>131584</v>
      </c>
      <c r="AC39" s="2"/>
      <c r="AD39" s="3" t="s">
        <v>295</v>
      </c>
      <c r="AE39" s="4">
        <v>50055</v>
      </c>
      <c r="AF39" s="4">
        <v>315046</v>
      </c>
      <c r="AG39" s="4"/>
      <c r="AH39" s="4"/>
      <c r="AJ39" s="4"/>
      <c r="AK39" s="4"/>
      <c r="AL39" s="4"/>
      <c r="AM39" s="4"/>
      <c r="AO39" s="4"/>
      <c r="AP39" s="10"/>
      <c r="AQ39" s="4"/>
      <c r="AR39" s="4"/>
      <c r="AS39" s="4"/>
      <c r="AT39" s="4"/>
      <c r="AU39" s="4"/>
      <c r="AW39" s="4"/>
      <c r="AX39" s="4">
        <v>11203</v>
      </c>
      <c r="AY39" s="4"/>
      <c r="AZ39" s="4"/>
      <c r="BA39" s="4">
        <v>23903</v>
      </c>
      <c r="BB39" s="4"/>
      <c r="BC39" s="4"/>
      <c r="BD39" s="4"/>
      <c r="BE39" s="4"/>
      <c r="BF39" s="4"/>
      <c r="BH39" s="4">
        <v>36672</v>
      </c>
      <c r="BI39" s="4"/>
      <c r="BJ39" s="4"/>
      <c r="BK39" s="4"/>
      <c r="BL39" s="4"/>
      <c r="BM39" s="4">
        <v>20435</v>
      </c>
      <c r="BN39" s="4">
        <v>22578</v>
      </c>
      <c r="BO39" s="4"/>
      <c r="BP39" s="4"/>
      <c r="BQ39" s="4"/>
      <c r="BS39" s="10"/>
      <c r="BT39" s="4"/>
      <c r="BU39" s="4"/>
      <c r="BV39" s="4"/>
      <c r="BW39" s="4"/>
      <c r="CA39" s="4">
        <v>94175</v>
      </c>
      <c r="CB39" s="4"/>
      <c r="CC39" s="4">
        <v>18193</v>
      </c>
      <c r="CD39" s="4"/>
      <c r="CE39" s="4"/>
      <c r="CF39" s="4"/>
      <c r="CG39" s="4"/>
      <c r="CH39" s="4"/>
      <c r="CI39" s="4"/>
      <c r="CJ39" s="10"/>
      <c r="CK39" s="4"/>
      <c r="CL39" s="10"/>
      <c r="CN39" s="4"/>
      <c r="CO39" s="10"/>
      <c r="CP39" s="4"/>
      <c r="CQ39" s="4">
        <v>16810</v>
      </c>
      <c r="CR39" s="10"/>
      <c r="CS39" s="4"/>
      <c r="CT39" s="4"/>
      <c r="CU39" s="4">
        <v>19455</v>
      </c>
      <c r="CV39" s="4"/>
      <c r="CW39" s="4"/>
      <c r="CX39" s="4"/>
      <c r="CY39" s="77">
        <f t="shared" si="12"/>
        <v>6.9643595256481325E-3</v>
      </c>
      <c r="CZ39" s="8">
        <f t="shared" si="28"/>
        <v>628525</v>
      </c>
      <c r="DA39" s="2"/>
      <c r="DH39" s="4"/>
      <c r="DJ39" s="4"/>
      <c r="DX39" s="2"/>
      <c r="DY39" s="32"/>
      <c r="DZ39" s="4">
        <v>5</v>
      </c>
      <c r="EA39" s="32"/>
      <c r="EB39" s="32"/>
      <c r="EC39" s="32"/>
      <c r="ED39" s="32"/>
      <c r="EE39" s="4"/>
      <c r="EF39" s="4"/>
      <c r="EG39" s="32"/>
      <c r="EH39" s="32"/>
      <c r="EI39" s="32"/>
      <c r="EJ39" s="32"/>
      <c r="EK39" s="5"/>
      <c r="EO39" s="2"/>
      <c r="EQ39" s="468" t="s">
        <v>1</v>
      </c>
      <c r="ER39"/>
      <c r="ES39" s="6" t="s">
        <v>320</v>
      </c>
      <c r="ET39" s="10"/>
      <c r="EU39" s="10"/>
      <c r="EV39" s="10"/>
      <c r="EW39" s="10"/>
      <c r="EX39" s="4">
        <v>1763</v>
      </c>
      <c r="EY39" s="4">
        <v>23901</v>
      </c>
      <c r="EZ39" s="4">
        <v>17388</v>
      </c>
      <c r="FA39" s="4">
        <v>22030</v>
      </c>
      <c r="FB39" s="4"/>
      <c r="FC39" s="4"/>
      <c r="FD39" s="4"/>
      <c r="FE39" s="4"/>
      <c r="FF39" s="4"/>
      <c r="FG39" s="4"/>
      <c r="FH39" s="10">
        <v>19108</v>
      </c>
      <c r="FI39" s="10">
        <v>19607</v>
      </c>
      <c r="FJ39" s="10"/>
      <c r="FK39" s="10"/>
      <c r="FL39" s="10"/>
      <c r="FM39" s="10">
        <v>23436</v>
      </c>
      <c r="FN39" s="4"/>
      <c r="FO39" s="4"/>
      <c r="FP39" s="10">
        <v>19516</v>
      </c>
      <c r="FQ39" s="4"/>
      <c r="FR39" s="4"/>
      <c r="FS39" s="10">
        <v>20709</v>
      </c>
      <c r="FT39" s="4">
        <v>19113</v>
      </c>
      <c r="FU39" s="4">
        <v>13078</v>
      </c>
      <c r="FV39" s="4"/>
      <c r="FW39" s="4"/>
      <c r="FX39" s="4"/>
      <c r="FY39" s="4"/>
      <c r="FZ39" s="10">
        <v>24469</v>
      </c>
      <c r="GA39" s="10">
        <v>25867</v>
      </c>
      <c r="GB39" s="10"/>
      <c r="GC39" s="10"/>
      <c r="GD39" s="4"/>
      <c r="GE39" s="4"/>
      <c r="GF39" s="4">
        <v>17003</v>
      </c>
      <c r="GG39" s="4"/>
      <c r="GH39" s="4"/>
      <c r="GI39" s="4"/>
      <c r="GJ39" s="4"/>
      <c r="GK39" s="4"/>
      <c r="GL39" s="4"/>
      <c r="GM39" s="4">
        <v>16035</v>
      </c>
      <c r="GN39" s="10">
        <v>16286</v>
      </c>
      <c r="GO39" s="10">
        <v>26187</v>
      </c>
      <c r="GP39" s="4"/>
      <c r="GQ39" s="10"/>
      <c r="GR39" s="4">
        <v>24099</v>
      </c>
      <c r="GS39" s="10"/>
      <c r="GT39" s="4"/>
      <c r="GU39" s="10"/>
      <c r="GV39" s="4"/>
      <c r="GW39" s="10"/>
      <c r="GX39" s="10">
        <v>21748</v>
      </c>
      <c r="GY39" s="10"/>
      <c r="GZ39" s="10"/>
      <c r="HA39" s="18">
        <v>43344</v>
      </c>
      <c r="HB39" s="4">
        <v>2000</v>
      </c>
      <c r="HC39" s="77">
        <f t="shared" si="22"/>
        <v>3.0623714644929769E-2</v>
      </c>
      <c r="HD39" s="8">
        <f t="shared" si="29"/>
        <v>371343</v>
      </c>
      <c r="HE39" s="2"/>
      <c r="HF39" s="3" t="s">
        <v>295</v>
      </c>
      <c r="HG39" s="4">
        <v>8941</v>
      </c>
      <c r="HH39" s="4"/>
      <c r="HI39" s="4"/>
      <c r="HJ39" s="4"/>
      <c r="HK39" s="4"/>
      <c r="HL39" s="4"/>
      <c r="HM39" s="4"/>
      <c r="HN39" s="4"/>
      <c r="HO39" s="4"/>
      <c r="HP39" s="4">
        <v>16308</v>
      </c>
      <c r="HQ39" s="4"/>
      <c r="HR39" s="4"/>
      <c r="HS39" s="4"/>
      <c r="HT39" s="10">
        <v>16278</v>
      </c>
      <c r="HU39" s="10"/>
      <c r="HV39" s="4"/>
      <c r="HW39" s="4"/>
      <c r="HX39" s="4"/>
      <c r="HY39" s="4"/>
      <c r="HZ39" s="4"/>
      <c r="IA39" s="4"/>
      <c r="IB39" s="4"/>
      <c r="IC39" s="4">
        <v>19247</v>
      </c>
      <c r="ID39" s="10">
        <v>19604</v>
      </c>
      <c r="IE39" s="4"/>
      <c r="IF39" s="10"/>
      <c r="IG39" s="4"/>
      <c r="IH39" s="4"/>
      <c r="II39" s="4"/>
      <c r="IJ39" s="4"/>
      <c r="IK39" s="4"/>
      <c r="IL39" s="4"/>
      <c r="IM39" s="4"/>
      <c r="IN39" s="4"/>
      <c r="IO39" s="4"/>
      <c r="IP39" s="4"/>
      <c r="IQ39" s="4"/>
      <c r="IR39" s="4">
        <v>20435</v>
      </c>
      <c r="IS39" s="4">
        <v>22578</v>
      </c>
      <c r="IT39" s="10">
        <v>24215</v>
      </c>
      <c r="IU39" s="4"/>
      <c r="IV39" s="4"/>
      <c r="IW39" s="4"/>
      <c r="IX39" s="10">
        <v>22916</v>
      </c>
      <c r="IY39" s="4"/>
      <c r="IZ39" s="4"/>
      <c r="JA39" s="4"/>
      <c r="JB39" s="4"/>
      <c r="JC39" s="4"/>
      <c r="JD39" s="4"/>
      <c r="JE39" s="4"/>
      <c r="JF39" s="10"/>
      <c r="JG39" s="10"/>
      <c r="JH39" s="10"/>
      <c r="JI39" s="4"/>
      <c r="JJ39" s="4"/>
      <c r="JK39" s="4"/>
      <c r="JL39" s="4">
        <v>20577</v>
      </c>
      <c r="JM39" s="4"/>
      <c r="JN39" s="10"/>
      <c r="JO39" s="10"/>
      <c r="JP39" s="4"/>
      <c r="JQ39" s="4"/>
      <c r="JR39" s="4"/>
      <c r="JS39" s="4"/>
      <c r="JT39" s="4"/>
      <c r="JU39" s="10"/>
      <c r="JV39" s="4"/>
      <c r="JW39" s="4"/>
      <c r="JX39" s="4"/>
      <c r="JY39" s="4"/>
      <c r="JZ39" s="4"/>
      <c r="KA39" s="4"/>
      <c r="KB39" s="4"/>
      <c r="KC39" s="4"/>
      <c r="KD39" s="10">
        <v>17029</v>
      </c>
      <c r="KE39" s="10">
        <v>22078</v>
      </c>
      <c r="KF39" s="10">
        <v>15524</v>
      </c>
      <c r="KG39" s="4"/>
      <c r="KH39" s="10"/>
      <c r="KI39" s="10"/>
      <c r="KJ39" s="10">
        <v>18100</v>
      </c>
      <c r="KK39" s="10">
        <v>23576</v>
      </c>
      <c r="KL39" s="4">
        <v>16810</v>
      </c>
      <c r="KM39" s="10">
        <v>14095</v>
      </c>
      <c r="KN39" s="4"/>
      <c r="KO39" s="4"/>
      <c r="KP39" s="4">
        <v>19455</v>
      </c>
      <c r="KQ39" s="4"/>
      <c r="KR39" s="10"/>
      <c r="KS39" s="4">
        <v>21248</v>
      </c>
      <c r="KT39" s="4"/>
      <c r="KU39" s="4"/>
      <c r="KV39" s="4"/>
      <c r="KW39" s="4"/>
      <c r="KX39" s="18"/>
      <c r="KY39" s="31"/>
      <c r="KZ39" s="77">
        <f t="shared" si="23"/>
        <v>1.3388056036198278E-2</v>
      </c>
      <c r="LA39" s="8">
        <f t="shared" si="30"/>
        <v>359014</v>
      </c>
      <c r="LB39" s="2"/>
      <c r="LC39" s="43"/>
      <c r="MO39" s="172"/>
      <c r="NO39" s="77"/>
      <c r="NP39" s="63"/>
      <c r="NQ39"/>
      <c r="NR39" s="77" t="e">
        <f t="shared" si="24"/>
        <v>#DIV/0!</v>
      </c>
      <c r="NS39" s="8">
        <f t="shared" si="4"/>
        <v>0</v>
      </c>
      <c r="NT39" s="2"/>
      <c r="NU39" s="3" t="s">
        <v>295</v>
      </c>
      <c r="NV39" s="4">
        <v>5</v>
      </c>
      <c r="NW39" s="4"/>
      <c r="NX39" s="4"/>
      <c r="NY39" s="4"/>
      <c r="NZ39" s="4"/>
      <c r="OA39" s="4"/>
      <c r="OB39" s="4"/>
      <c r="OC39" s="4">
        <v>26318</v>
      </c>
      <c r="OD39" s="4"/>
      <c r="OE39" s="77">
        <f t="shared" si="25"/>
        <v>-4.2277605966891028E-2</v>
      </c>
      <c r="OF39" s="8">
        <f t="shared" si="5"/>
        <v>26323</v>
      </c>
      <c r="OG39" s="2"/>
      <c r="OJ39" s="40"/>
      <c r="OK39" s="40"/>
      <c r="OL39" s="40"/>
      <c r="OM39" s="40"/>
      <c r="ON39" s="40"/>
      <c r="OO39" s="40"/>
      <c r="OQ39" s="40"/>
      <c r="OR39" s="77"/>
      <c r="OS39" s="35"/>
      <c r="OT39" s="37"/>
      <c r="OU39" s="126">
        <f t="shared" si="31"/>
        <v>786432</v>
      </c>
      <c r="OV39" s="71">
        <f t="shared" si="9"/>
        <v>1.8624915601870135E-3</v>
      </c>
      <c r="OW39" s="139">
        <f>IF(A39="","",SUM(Z$17:Z39))</f>
        <v>20000</v>
      </c>
      <c r="OX39" s="139">
        <f t="shared" si="32"/>
        <v>806432</v>
      </c>
      <c r="OY39" s="132">
        <f t="shared" si="33"/>
        <v>0.13010710647165244</v>
      </c>
      <c r="OZ39" s="140">
        <f t="shared" si="34"/>
        <v>730357</v>
      </c>
      <c r="PA39" s="84">
        <f t="shared" si="15"/>
        <v>2.2078703574127459E-2</v>
      </c>
      <c r="PB39" s="130">
        <f>IF(A39="","",SUM(HB$17:HB39)+SUM(KY$17:KY39))</f>
        <v>47410.600000000006</v>
      </c>
      <c r="PC39" s="131">
        <f t="shared" si="35"/>
        <v>777767.6</v>
      </c>
      <c r="PD39" s="132">
        <f t="shared" si="36"/>
        <v>0.17750624128528839</v>
      </c>
      <c r="PE39" s="133"/>
      <c r="PF39" s="134"/>
      <c r="PG39" s="133"/>
      <c r="PH39" s="134"/>
      <c r="PI39" s="135">
        <f t="shared" si="37"/>
        <v>1516789</v>
      </c>
      <c r="PJ39" s="136">
        <f t="shared" si="10"/>
        <v>1.1496115501317062E-2</v>
      </c>
      <c r="PK39" s="123"/>
      <c r="PL39" s="137">
        <f t="shared" si="38"/>
        <v>67410.600000000006</v>
      </c>
      <c r="PM39" s="9">
        <f t="shared" si="39"/>
        <v>1584199.6</v>
      </c>
      <c r="PN39" s="138">
        <f t="shared" si="40"/>
        <v>0.15289139879631186</v>
      </c>
      <c r="PO39" s="86">
        <f>IF(PI39="","",MAX(PI$15:PI39))</f>
        <v>1516789</v>
      </c>
      <c r="PP39" s="113">
        <f t="shared" si="11"/>
        <v>0</v>
      </c>
      <c r="PQ39" s="41"/>
      <c r="PR39" s="302"/>
    </row>
    <row r="40" spans="1:434" s="1" customFormat="1" ht="15" customHeight="1" x14ac:dyDescent="0.45">
      <c r="A40" s="18">
        <v>43377</v>
      </c>
      <c r="B40" s="3" t="s">
        <v>295</v>
      </c>
      <c r="C40" s="4">
        <v>21271</v>
      </c>
      <c r="D40" s="10"/>
      <c r="E40" s="10"/>
      <c r="F40" s="10"/>
      <c r="G40" s="4"/>
      <c r="H40" s="4"/>
      <c r="I40" s="4">
        <v>18903</v>
      </c>
      <c r="J40" s="4">
        <v>12393</v>
      </c>
      <c r="K40" s="4"/>
      <c r="L40" s="4"/>
      <c r="M40" s="4"/>
      <c r="N40" s="4"/>
      <c r="O40" s="10"/>
      <c r="P40" s="4"/>
      <c r="Q40" s="4"/>
      <c r="R40" s="4">
        <v>25932</v>
      </c>
      <c r="S40" s="4"/>
      <c r="T40" s="4"/>
      <c r="U40" s="10">
        <v>50975</v>
      </c>
      <c r="V40" s="10"/>
      <c r="W40" s="10"/>
      <c r="X40" s="4"/>
      <c r="Y40" s="18">
        <f t="shared" si="41"/>
        <v>43374</v>
      </c>
      <c r="Z40" s="4"/>
      <c r="AA40" s="77">
        <f t="shared" si="21"/>
        <v>-1.6035384241245135E-2</v>
      </c>
      <c r="AB40" s="8">
        <f t="shared" si="27"/>
        <v>129474</v>
      </c>
      <c r="AC40" s="2"/>
      <c r="AD40" s="3" t="s">
        <v>295</v>
      </c>
      <c r="AE40" s="4">
        <v>51941</v>
      </c>
      <c r="AF40" s="4">
        <v>312684</v>
      </c>
      <c r="AG40" s="4"/>
      <c r="AH40" s="4"/>
      <c r="AJ40" s="4"/>
      <c r="AK40" s="4"/>
      <c r="AL40" s="4"/>
      <c r="AM40" s="4"/>
      <c r="AO40" s="4"/>
      <c r="AP40" s="10"/>
      <c r="AQ40" s="4"/>
      <c r="AR40" s="4"/>
      <c r="AS40" s="4"/>
      <c r="AT40" s="4"/>
      <c r="AU40" s="4"/>
      <c r="AW40" s="4"/>
      <c r="AX40" s="4">
        <v>11268</v>
      </c>
      <c r="AY40" s="4"/>
      <c r="AZ40" s="4"/>
      <c r="BA40" s="4">
        <v>23658</v>
      </c>
      <c r="BB40" s="4"/>
      <c r="BC40" s="4"/>
      <c r="BD40" s="4"/>
      <c r="BE40" s="4"/>
      <c r="BF40" s="4"/>
      <c r="BH40" s="4">
        <v>36362</v>
      </c>
      <c r="BI40" s="4"/>
      <c r="BJ40" s="4"/>
      <c r="BK40" s="4"/>
      <c r="BL40" s="4"/>
      <c r="BM40" s="4">
        <v>19759</v>
      </c>
      <c r="BN40" s="4">
        <v>21188</v>
      </c>
      <c r="BO40" s="4"/>
      <c r="BP40" s="4"/>
      <c r="BQ40" s="4"/>
      <c r="BS40" s="10"/>
      <c r="BT40" s="4"/>
      <c r="BU40" s="4"/>
      <c r="BV40" s="4"/>
      <c r="BW40" s="4"/>
      <c r="CA40" s="4">
        <v>94354</v>
      </c>
      <c r="CB40" s="4"/>
      <c r="CC40" s="4">
        <v>18208</v>
      </c>
      <c r="CD40" s="4"/>
      <c r="CE40" s="4"/>
      <c r="CF40" s="4"/>
      <c r="CG40" s="4"/>
      <c r="CH40" s="4"/>
      <c r="CI40" s="4"/>
      <c r="CJ40" s="10"/>
      <c r="CK40" s="4"/>
      <c r="CL40" s="10"/>
      <c r="CN40" s="4"/>
      <c r="CO40" s="10"/>
      <c r="CP40" s="4"/>
      <c r="CQ40" s="4">
        <v>15648</v>
      </c>
      <c r="CR40" s="10"/>
      <c r="CS40" s="4"/>
      <c r="CT40" s="4"/>
      <c r="CU40" s="4">
        <v>18961</v>
      </c>
      <c r="CV40" s="4"/>
      <c r="CW40" s="4"/>
      <c r="CX40" s="4"/>
      <c r="CY40" s="77">
        <f t="shared" si="12"/>
        <v>-7.1500735849807087E-3</v>
      </c>
      <c r="CZ40" s="8">
        <f t="shared" si="28"/>
        <v>624031</v>
      </c>
      <c r="DA40" s="2"/>
      <c r="DH40" s="4"/>
      <c r="DJ40" s="4"/>
      <c r="DX40" s="2"/>
      <c r="DY40" s="32"/>
      <c r="DZ40" s="4">
        <v>5</v>
      </c>
      <c r="EA40" s="32"/>
      <c r="EB40" s="32"/>
      <c r="EC40" s="32"/>
      <c r="ED40" s="32"/>
      <c r="EE40" s="4"/>
      <c r="EF40" s="4"/>
      <c r="EG40" s="32"/>
      <c r="EH40" s="32"/>
      <c r="EI40" s="32"/>
      <c r="EJ40" s="32"/>
      <c r="EK40" s="5"/>
      <c r="EO40" s="2"/>
      <c r="EQ40" s="468" t="s">
        <v>1</v>
      </c>
      <c r="ER40"/>
      <c r="ES40" s="6" t="s">
        <v>321</v>
      </c>
      <c r="ET40" s="10"/>
      <c r="EU40" s="10"/>
      <c r="EV40" s="10"/>
      <c r="EW40" s="10"/>
      <c r="EX40" s="4">
        <f>3571+3280.85</f>
        <v>6851.85</v>
      </c>
      <c r="EY40" s="4">
        <v>23639</v>
      </c>
      <c r="EZ40" s="4">
        <v>17573</v>
      </c>
      <c r="FA40" s="4">
        <v>22473</v>
      </c>
      <c r="FB40" s="4"/>
      <c r="FC40" s="4"/>
      <c r="FD40" s="4"/>
      <c r="FE40" s="4"/>
      <c r="FF40" s="4"/>
      <c r="FG40" s="4"/>
      <c r="FH40" s="10">
        <v>19352</v>
      </c>
      <c r="FI40" s="10">
        <v>19025</v>
      </c>
      <c r="FJ40" s="10"/>
      <c r="FK40" s="10"/>
      <c r="FL40" s="10"/>
      <c r="FM40" s="10">
        <v>23322</v>
      </c>
      <c r="FN40" s="4"/>
      <c r="FO40" s="4"/>
      <c r="FP40" s="10">
        <v>19126</v>
      </c>
      <c r="FQ40" s="4"/>
      <c r="FR40" s="4"/>
      <c r="FS40" s="10">
        <v>19859</v>
      </c>
      <c r="FT40" s="4">
        <v>18903</v>
      </c>
      <c r="FU40" s="4">
        <v>12393</v>
      </c>
      <c r="FV40" s="4"/>
      <c r="FW40" s="4"/>
      <c r="FX40" s="4"/>
      <c r="FY40" s="4"/>
      <c r="FZ40" s="10">
        <v>24926</v>
      </c>
      <c r="GA40" s="10">
        <v>25938</v>
      </c>
      <c r="GB40" s="10"/>
      <c r="GC40" s="10"/>
      <c r="GD40" s="4"/>
      <c r="GE40" s="4"/>
      <c r="GF40" s="4">
        <v>17315</v>
      </c>
      <c r="GG40" s="4"/>
      <c r="GH40" s="4"/>
      <c r="GI40" s="4"/>
      <c r="GJ40" s="4"/>
      <c r="GK40" s="4"/>
      <c r="GL40" s="4"/>
      <c r="GM40" s="4">
        <v>16767</v>
      </c>
      <c r="GN40" s="10">
        <v>15390</v>
      </c>
      <c r="GO40" s="10">
        <v>25259</v>
      </c>
      <c r="GP40" s="4"/>
      <c r="GQ40" s="10"/>
      <c r="GR40" s="4">
        <v>23022</v>
      </c>
      <c r="GS40" s="10"/>
      <c r="GT40" s="4"/>
      <c r="GU40" s="10"/>
      <c r="GV40" s="4"/>
      <c r="GW40" s="10"/>
      <c r="GX40" s="10">
        <v>22008</v>
      </c>
      <c r="GY40" s="10"/>
      <c r="GZ40" s="10"/>
      <c r="HA40" s="18">
        <v>43374</v>
      </c>
      <c r="HB40" s="4">
        <v>2000</v>
      </c>
      <c r="HC40" s="77">
        <f t="shared" si="22"/>
        <v>4.8441737154059101E-3</v>
      </c>
      <c r="HD40" s="8">
        <f t="shared" si="29"/>
        <v>373141.85</v>
      </c>
      <c r="HE40" s="2"/>
      <c r="HF40" s="3" t="s">
        <v>295</v>
      </c>
      <c r="HG40" s="4">
        <v>10515</v>
      </c>
      <c r="HH40" s="4"/>
      <c r="HI40" s="4"/>
      <c r="HJ40" s="4"/>
      <c r="HK40" s="4"/>
      <c r="HL40" s="4"/>
      <c r="HM40" s="4"/>
      <c r="HN40" s="4"/>
      <c r="HO40" s="4"/>
      <c r="HP40" s="4">
        <v>16124</v>
      </c>
      <c r="HQ40" s="4"/>
      <c r="HR40" s="4"/>
      <c r="HS40" s="4"/>
      <c r="HT40" s="10">
        <v>16130</v>
      </c>
      <c r="HU40" s="10"/>
      <c r="HV40" s="4"/>
      <c r="HW40" s="4"/>
      <c r="HX40" s="4"/>
      <c r="HY40" s="4"/>
      <c r="HZ40" s="4"/>
      <c r="IA40" s="4"/>
      <c r="IB40" s="4"/>
      <c r="IC40" s="4">
        <v>18092</v>
      </c>
      <c r="ID40" s="10">
        <v>20323</v>
      </c>
      <c r="IE40" s="4"/>
      <c r="IF40" s="10"/>
      <c r="IG40" s="4"/>
      <c r="IH40" s="4"/>
      <c r="II40" s="4"/>
      <c r="IJ40" s="4"/>
      <c r="IK40" s="4"/>
      <c r="IL40" s="4"/>
      <c r="IM40" s="4"/>
      <c r="IN40" s="4"/>
      <c r="IO40" s="4"/>
      <c r="IP40" s="4"/>
      <c r="IQ40" s="4"/>
      <c r="IR40" s="4">
        <v>19759</v>
      </c>
      <c r="IS40" s="4">
        <v>21188</v>
      </c>
      <c r="IT40" s="10">
        <v>24065</v>
      </c>
      <c r="IU40" s="4"/>
      <c r="IV40" s="4"/>
      <c r="IW40" s="4"/>
      <c r="IX40" s="10">
        <v>23054</v>
      </c>
      <c r="IY40" s="4"/>
      <c r="IZ40" s="4"/>
      <c r="JA40" s="4"/>
      <c r="JB40" s="4"/>
      <c r="JC40" s="4"/>
      <c r="JD40" s="4"/>
      <c r="JE40" s="4"/>
      <c r="JF40" s="10"/>
      <c r="JG40" s="10"/>
      <c r="JH40" s="10"/>
      <c r="JI40" s="4"/>
      <c r="JJ40" s="4"/>
      <c r="JK40" s="4"/>
      <c r="JL40" s="4">
        <v>21366</v>
      </c>
      <c r="JM40" s="4"/>
      <c r="JN40" s="10"/>
      <c r="JO40" s="10"/>
      <c r="JP40" s="4"/>
      <c r="JQ40" s="4"/>
      <c r="JR40" s="4"/>
      <c r="JS40" s="4"/>
      <c r="JT40" s="4"/>
      <c r="JU40" s="10"/>
      <c r="JV40" s="4"/>
      <c r="JW40" s="4"/>
      <c r="JX40" s="4"/>
      <c r="JY40" s="4"/>
      <c r="JZ40" s="4"/>
      <c r="KA40" s="4"/>
      <c r="KB40" s="4"/>
      <c r="KC40" s="4"/>
      <c r="KD40" s="10">
        <v>16609</v>
      </c>
      <c r="KE40" s="10">
        <v>21897</v>
      </c>
      <c r="KF40" s="10">
        <v>16094</v>
      </c>
      <c r="KG40" s="4"/>
      <c r="KH40" s="10"/>
      <c r="KI40" s="10"/>
      <c r="KJ40" s="10">
        <v>18401</v>
      </c>
      <c r="KK40" s="10">
        <v>23444</v>
      </c>
      <c r="KL40" s="4">
        <v>15648</v>
      </c>
      <c r="KM40" s="10">
        <v>13955</v>
      </c>
      <c r="KN40" s="4"/>
      <c r="KO40" s="4"/>
      <c r="KP40" s="4">
        <v>18961</v>
      </c>
      <c r="KQ40" s="4"/>
      <c r="KR40" s="10"/>
      <c r="KS40" s="4">
        <v>21105</v>
      </c>
      <c r="KT40" s="4"/>
      <c r="KU40" s="4"/>
      <c r="KV40" s="4"/>
      <c r="KW40" s="4"/>
      <c r="KX40" s="18"/>
      <c r="KY40" s="31"/>
      <c r="KZ40" s="77">
        <f t="shared" si="23"/>
        <v>-6.361868896477575E-3</v>
      </c>
      <c r="LA40" s="8">
        <f t="shared" si="30"/>
        <v>356730</v>
      </c>
      <c r="LB40" s="2"/>
      <c r="LC40" s="43"/>
      <c r="MO40" s="172"/>
      <c r="NO40" s="77"/>
      <c r="NP40" s="63"/>
      <c r="NQ40"/>
      <c r="NR40" s="77" t="e">
        <f t="shared" si="24"/>
        <v>#DIV/0!</v>
      </c>
      <c r="NS40" s="8">
        <f t="shared" si="4"/>
        <v>0</v>
      </c>
      <c r="NT40" s="2"/>
      <c r="NU40" s="3" t="s">
        <v>295</v>
      </c>
      <c r="NV40" s="4">
        <v>5</v>
      </c>
      <c r="NW40" s="4"/>
      <c r="NX40" s="4"/>
      <c r="NY40" s="4"/>
      <c r="NZ40" s="4"/>
      <c r="OA40" s="4"/>
      <c r="OB40" s="4"/>
      <c r="OC40" s="4">
        <v>26114</v>
      </c>
      <c r="OD40" s="4"/>
      <c r="OE40" s="77">
        <f t="shared" si="25"/>
        <v>-7.7498765338297306E-3</v>
      </c>
      <c r="OF40" s="8">
        <f t="shared" si="5"/>
        <v>26119</v>
      </c>
      <c r="OG40" s="2"/>
      <c r="OJ40" s="40"/>
      <c r="OK40" s="40"/>
      <c r="OL40" s="40"/>
      <c r="OM40" s="40"/>
      <c r="ON40" s="40"/>
      <c r="OO40" s="40"/>
      <c r="OQ40" s="40"/>
      <c r="OR40" s="77"/>
      <c r="OS40" s="35"/>
      <c r="OT40" s="37"/>
      <c r="OU40" s="126">
        <f t="shared" si="31"/>
        <v>779624</v>
      </c>
      <c r="OV40" s="71">
        <f t="shared" si="9"/>
        <v>-8.6568196614583339E-3</v>
      </c>
      <c r="OW40" s="139">
        <f>IF(A40="","",SUM(Z$17:Z40))</f>
        <v>20000</v>
      </c>
      <c r="OX40" s="139">
        <f t="shared" si="32"/>
        <v>799624</v>
      </c>
      <c r="OY40" s="132">
        <f t="shared" si="33"/>
        <v>0.120566600662286</v>
      </c>
      <c r="OZ40" s="140">
        <f t="shared" si="34"/>
        <v>729871.85</v>
      </c>
      <c r="PA40" s="84">
        <f t="shared" si="15"/>
        <v>-6.6426418860916412E-4</v>
      </c>
      <c r="PB40" s="130">
        <f>IF(A40="","",SUM(HB$17:HB40)+SUM(KY$17:KY40))</f>
        <v>49410.600000000006</v>
      </c>
      <c r="PC40" s="131">
        <f t="shared" si="35"/>
        <v>779282.45</v>
      </c>
      <c r="PD40" s="132">
        <f t="shared" si="36"/>
        <v>0.17979965814864321</v>
      </c>
      <c r="PE40" s="133"/>
      <c r="PF40" s="134"/>
      <c r="PG40" s="133"/>
      <c r="PH40" s="134"/>
      <c r="PI40" s="135">
        <f t="shared" si="37"/>
        <v>1509495.85</v>
      </c>
      <c r="PJ40" s="136">
        <f t="shared" si="10"/>
        <v>-4.8082824967743748E-3</v>
      </c>
      <c r="PK40" s="123"/>
      <c r="PL40" s="137">
        <f t="shared" si="38"/>
        <v>69410.600000000006</v>
      </c>
      <c r="PM40" s="9">
        <f t="shared" si="39"/>
        <v>1578906.45</v>
      </c>
      <c r="PN40" s="138">
        <f t="shared" si="40"/>
        <v>0.14903934182852899</v>
      </c>
      <c r="PO40" s="86">
        <f>IF(PI40="","",MAX(PI$15:PI40))</f>
        <v>1516789</v>
      </c>
      <c r="PP40" s="113">
        <f t="shared" si="11"/>
        <v>-4.8315137799152651E-3</v>
      </c>
      <c r="PQ40" s="41"/>
      <c r="PR40" s="302"/>
    </row>
    <row r="41" spans="1:434" s="1" customFormat="1" ht="15" customHeight="1" x14ac:dyDescent="0.45">
      <c r="A41" s="18"/>
      <c r="B41" s="3" t="s">
        <v>295</v>
      </c>
      <c r="C41" s="4"/>
      <c r="D41" s="10"/>
      <c r="E41" s="10"/>
      <c r="F41" s="10"/>
      <c r="G41" s="4"/>
      <c r="H41" s="4"/>
      <c r="I41" s="4"/>
      <c r="J41" s="4"/>
      <c r="K41" s="4"/>
      <c r="L41" s="4"/>
      <c r="M41" s="4"/>
      <c r="N41" s="4"/>
      <c r="O41" s="10"/>
      <c r="P41" s="4"/>
      <c r="Q41" s="4"/>
      <c r="R41" s="4"/>
      <c r="S41" s="4"/>
      <c r="T41" s="4"/>
      <c r="U41" s="10"/>
      <c r="V41" s="10"/>
      <c r="W41" s="10"/>
      <c r="X41" s="4"/>
      <c r="Y41" s="18">
        <f t="shared" si="41"/>
        <v>43378</v>
      </c>
      <c r="Z41" s="4"/>
      <c r="AA41" s="77" t="str">
        <f t="shared" si="21"/>
        <v/>
      </c>
      <c r="AB41" s="8" t="str">
        <f t="shared" si="27"/>
        <v/>
      </c>
      <c r="AC41" s="2"/>
      <c r="AD41" s="3" t="s">
        <v>295</v>
      </c>
      <c r="AE41" s="4"/>
      <c r="AF41" s="4"/>
      <c r="AG41" s="4"/>
      <c r="AH41" s="4"/>
      <c r="AJ41" s="4"/>
      <c r="AK41" s="4"/>
      <c r="AL41" s="4"/>
      <c r="AM41" s="4"/>
      <c r="AO41" s="4"/>
      <c r="AP41" s="10"/>
      <c r="AQ41" s="4"/>
      <c r="AR41" s="4"/>
      <c r="AS41" s="4"/>
      <c r="AT41" s="4"/>
      <c r="AU41" s="4"/>
      <c r="AW41" s="4"/>
      <c r="AX41" s="4"/>
      <c r="AY41" s="4"/>
      <c r="AZ41" s="4"/>
      <c r="BA41" s="4"/>
      <c r="BB41" s="4"/>
      <c r="BC41" s="4"/>
      <c r="BD41" s="4"/>
      <c r="BE41" s="4"/>
      <c r="BF41" s="4"/>
      <c r="BH41" s="4"/>
      <c r="BI41" s="4"/>
      <c r="BJ41" s="4"/>
      <c r="BK41" s="4"/>
      <c r="BL41" s="4"/>
      <c r="BM41" s="4"/>
      <c r="BN41" s="4"/>
      <c r="BO41" s="4"/>
      <c r="BP41" s="4"/>
      <c r="BQ41" s="4"/>
      <c r="BS41" s="10"/>
      <c r="BT41" s="4"/>
      <c r="BU41" s="4"/>
      <c r="BV41" s="4"/>
      <c r="BW41" s="4"/>
      <c r="CA41" s="4"/>
      <c r="CB41" s="4"/>
      <c r="CC41" s="4"/>
      <c r="CD41" s="4"/>
      <c r="CE41" s="4"/>
      <c r="CF41" s="4"/>
      <c r="CG41" s="4"/>
      <c r="CH41" s="4"/>
      <c r="CI41" s="4"/>
      <c r="CJ41" s="10"/>
      <c r="CK41" s="4"/>
      <c r="CL41" s="10"/>
      <c r="CN41" s="4"/>
      <c r="CO41" s="10"/>
      <c r="CP41" s="4"/>
      <c r="CQ41" s="4"/>
      <c r="CR41" s="10"/>
      <c r="CS41" s="4"/>
      <c r="CT41" s="4"/>
      <c r="CU41" s="4"/>
      <c r="CV41" s="4"/>
      <c r="CW41" s="4"/>
      <c r="CX41" s="4"/>
      <c r="CY41" s="77" t="str">
        <f t="shared" si="12"/>
        <v/>
      </c>
      <c r="CZ41" s="8" t="str">
        <f t="shared" si="28"/>
        <v/>
      </c>
      <c r="DA41" s="2"/>
      <c r="DH41" s="4"/>
      <c r="DJ41" s="4"/>
      <c r="DX41" s="2"/>
      <c r="DY41" s="32"/>
      <c r="DZ41" s="4"/>
      <c r="EA41" s="32"/>
      <c r="EB41" s="32"/>
      <c r="EC41" s="32"/>
      <c r="ED41" s="32"/>
      <c r="EE41" s="4"/>
      <c r="EF41" s="4"/>
      <c r="EG41" s="32"/>
      <c r="EH41" s="32"/>
      <c r="EI41" s="32"/>
      <c r="EJ41" s="32"/>
      <c r="EK41" s="5"/>
      <c r="EO41" s="2"/>
      <c r="EQ41" s="468" t="s">
        <v>1</v>
      </c>
      <c r="ER41"/>
      <c r="ES41" s="6" t="s">
        <v>318</v>
      </c>
      <c r="ET41" s="10"/>
      <c r="EU41" s="10"/>
      <c r="EV41" s="10"/>
      <c r="EW41" s="10"/>
      <c r="EX41" s="4"/>
      <c r="EY41" s="4"/>
      <c r="EZ41" s="4"/>
      <c r="FA41" s="4"/>
      <c r="FB41" s="4"/>
      <c r="FC41" s="4"/>
      <c r="FD41" s="4"/>
      <c r="FE41" s="4"/>
      <c r="FF41" s="4"/>
      <c r="FG41" s="4"/>
      <c r="FH41" s="10"/>
      <c r="FI41" s="10"/>
      <c r="FJ41" s="10"/>
      <c r="FK41" s="10"/>
      <c r="FL41" s="10"/>
      <c r="FM41" s="10"/>
      <c r="FN41" s="4"/>
      <c r="FO41" s="4"/>
      <c r="FP41" s="10"/>
      <c r="FQ41" s="4"/>
      <c r="FR41" s="4"/>
      <c r="FS41" s="10"/>
      <c r="FT41" s="4"/>
      <c r="FU41" s="4"/>
      <c r="FV41" s="4"/>
      <c r="FW41" s="4"/>
      <c r="FX41" s="4"/>
      <c r="FY41" s="4"/>
      <c r="FZ41" s="10"/>
      <c r="GA41" s="10"/>
      <c r="GB41" s="10"/>
      <c r="GC41" s="10"/>
      <c r="GD41" s="4"/>
      <c r="GE41" s="4"/>
      <c r="GF41" s="4"/>
      <c r="GG41" s="4"/>
      <c r="GH41" s="4"/>
      <c r="GI41" s="4"/>
      <c r="GJ41" s="4"/>
      <c r="GK41" s="4"/>
      <c r="GL41" s="4"/>
      <c r="GM41" s="4"/>
      <c r="GN41" s="10"/>
      <c r="GO41" s="10"/>
      <c r="GP41" s="4"/>
      <c r="GQ41" s="10"/>
      <c r="GR41" s="4"/>
      <c r="GS41" s="10"/>
      <c r="GT41" s="4"/>
      <c r="GU41" s="10"/>
      <c r="GV41" s="4"/>
      <c r="GW41" s="10"/>
      <c r="GX41" s="10"/>
      <c r="GY41" s="10"/>
      <c r="GZ41" s="10"/>
      <c r="HA41" s="18">
        <v>43378</v>
      </c>
      <c r="HB41" s="4">
        <v>942.45</v>
      </c>
      <c r="HC41" s="77" t="str">
        <f t="shared" si="22"/>
        <v/>
      </c>
      <c r="HD41" s="8" t="str">
        <f t="shared" si="29"/>
        <v/>
      </c>
      <c r="HE41" s="2"/>
      <c r="HF41" s="3" t="s">
        <v>319</v>
      </c>
      <c r="HG41" s="4"/>
      <c r="HH41" s="4"/>
      <c r="HI41" s="4"/>
      <c r="HJ41" s="4"/>
      <c r="HK41" s="4"/>
      <c r="HL41" s="4"/>
      <c r="HM41" s="4"/>
      <c r="HN41" s="4"/>
      <c r="HO41" s="4"/>
      <c r="HP41" s="4"/>
      <c r="HQ41" s="4"/>
      <c r="HR41" s="4"/>
      <c r="HS41" s="4"/>
      <c r="HT41" s="10"/>
      <c r="HU41" s="10"/>
      <c r="HV41" s="4"/>
      <c r="HW41" s="4"/>
      <c r="HX41" s="4"/>
      <c r="HY41" s="4"/>
      <c r="HZ41" s="4"/>
      <c r="IA41" s="4"/>
      <c r="IB41" s="4"/>
      <c r="IC41" s="4"/>
      <c r="ID41" s="10"/>
      <c r="IE41" s="4"/>
      <c r="IF41" s="10"/>
      <c r="IG41" s="4"/>
      <c r="IH41" s="4"/>
      <c r="II41" s="4"/>
      <c r="IJ41" s="4"/>
      <c r="IK41" s="4"/>
      <c r="IL41" s="4"/>
      <c r="IM41" s="4"/>
      <c r="IN41" s="4"/>
      <c r="IO41" s="4"/>
      <c r="IP41" s="4"/>
      <c r="IQ41" s="4"/>
      <c r="IR41" s="4"/>
      <c r="IS41" s="4"/>
      <c r="IT41" s="10"/>
      <c r="IU41" s="4"/>
      <c r="IV41" s="4"/>
      <c r="IW41" s="4"/>
      <c r="IX41" s="10"/>
      <c r="IY41" s="4"/>
      <c r="IZ41" s="4"/>
      <c r="JA41" s="4"/>
      <c r="JB41" s="4"/>
      <c r="JC41" s="4"/>
      <c r="JD41" s="4"/>
      <c r="JE41" s="4"/>
      <c r="JF41" s="10"/>
      <c r="JG41" s="10"/>
      <c r="JH41" s="10"/>
      <c r="JI41" s="4"/>
      <c r="JJ41" s="4"/>
      <c r="JK41" s="4"/>
      <c r="JL41" s="4"/>
      <c r="JM41" s="4"/>
      <c r="JN41" s="10"/>
      <c r="JO41" s="10"/>
      <c r="JP41" s="4"/>
      <c r="JQ41" s="4"/>
      <c r="JR41" s="4"/>
      <c r="JS41" s="4"/>
      <c r="JT41" s="4"/>
      <c r="JU41" s="10"/>
      <c r="JV41" s="4"/>
      <c r="JW41" s="4"/>
      <c r="JX41" s="4"/>
      <c r="JY41" s="4"/>
      <c r="JZ41" s="4"/>
      <c r="KA41" s="4"/>
      <c r="KB41" s="4"/>
      <c r="KC41" s="4"/>
      <c r="KD41" s="10"/>
      <c r="KE41" s="10"/>
      <c r="KF41" s="10"/>
      <c r="KG41" s="4"/>
      <c r="KH41" s="10"/>
      <c r="KI41" s="10"/>
      <c r="KJ41" s="10"/>
      <c r="KK41" s="10"/>
      <c r="KL41" s="4"/>
      <c r="KM41" s="10"/>
      <c r="KN41" s="4"/>
      <c r="KO41" s="4"/>
      <c r="KP41" s="4"/>
      <c r="KQ41" s="4"/>
      <c r="KR41" s="10"/>
      <c r="KS41" s="4"/>
      <c r="KT41" s="4"/>
      <c r="KU41" s="4"/>
      <c r="KV41" s="4"/>
      <c r="KW41" s="4"/>
      <c r="KX41" s="18">
        <v>43378</v>
      </c>
      <c r="KY41" s="31">
        <v>892.93</v>
      </c>
      <c r="KZ41" s="77" t="str">
        <f t="shared" si="23"/>
        <v/>
      </c>
      <c r="LA41" s="8" t="str">
        <f t="shared" si="30"/>
        <v/>
      </c>
      <c r="LB41" s="2"/>
      <c r="LC41" s="43"/>
      <c r="MO41" s="172"/>
      <c r="NO41" s="77"/>
      <c r="NP41" s="63"/>
      <c r="NQ41"/>
      <c r="NR41" s="77" t="str">
        <f t="shared" si="24"/>
        <v/>
      </c>
      <c r="NS41" s="8" t="str">
        <f t="shared" si="4"/>
        <v/>
      </c>
      <c r="NT41" s="2"/>
      <c r="NU41" s="3" t="s">
        <v>295</v>
      </c>
      <c r="NV41" s="4"/>
      <c r="NW41" s="4"/>
      <c r="NX41" s="4"/>
      <c r="NY41" s="4"/>
      <c r="NZ41" s="4"/>
      <c r="OA41" s="4"/>
      <c r="OB41" s="4"/>
      <c r="OC41" s="4"/>
      <c r="OD41" s="4"/>
      <c r="OE41" s="77" t="str">
        <f t="shared" si="25"/>
        <v/>
      </c>
      <c r="OF41" s="8" t="str">
        <f t="shared" si="5"/>
        <v/>
      </c>
      <c r="OG41" s="2"/>
      <c r="OJ41" s="40"/>
      <c r="OK41" s="40"/>
      <c r="OL41" s="40"/>
      <c r="OM41" s="40"/>
      <c r="ON41" s="40"/>
      <c r="OO41" s="40"/>
      <c r="OQ41" s="40"/>
      <c r="OR41" s="77"/>
      <c r="OS41" s="35"/>
      <c r="OT41" s="37"/>
      <c r="OU41" s="126" t="str">
        <f t="shared" si="31"/>
        <v/>
      </c>
      <c r="OV41" s="71" t="str">
        <f t="shared" si="9"/>
        <v/>
      </c>
      <c r="OW41" s="139" t="str">
        <f>IF(A41="","",SUM(Z$17:Z41))</f>
        <v/>
      </c>
      <c r="OX41" s="139" t="str">
        <f t="shared" si="32"/>
        <v/>
      </c>
      <c r="OY41" s="132" t="str">
        <f t="shared" si="33"/>
        <v/>
      </c>
      <c r="OZ41" s="140" t="str">
        <f t="shared" si="34"/>
        <v/>
      </c>
      <c r="PA41" s="84" t="str">
        <f t="shared" si="15"/>
        <v/>
      </c>
      <c r="PB41" s="130" t="str">
        <f>IF(A41="","",SUM(HB$17:HB41)+SUM(KY$17:KY41))</f>
        <v/>
      </c>
      <c r="PC41" s="131" t="str">
        <f t="shared" si="35"/>
        <v/>
      </c>
      <c r="PD41" s="132" t="str">
        <f t="shared" si="36"/>
        <v/>
      </c>
      <c r="PE41" s="133"/>
      <c r="PF41" s="134"/>
      <c r="PG41" s="133"/>
      <c r="PH41" s="134"/>
      <c r="PI41" s="135" t="str">
        <f t="shared" si="37"/>
        <v/>
      </c>
      <c r="PJ41" s="136" t="str">
        <f t="shared" si="10"/>
        <v/>
      </c>
      <c r="PK41" s="123"/>
      <c r="PL41" s="137" t="str">
        <f t="shared" si="38"/>
        <v/>
      </c>
      <c r="PM41" s="9" t="str">
        <f t="shared" si="39"/>
        <v/>
      </c>
      <c r="PN41" s="138" t="str">
        <f t="shared" si="40"/>
        <v/>
      </c>
      <c r="PO41" s="86" t="str">
        <f>IF(PI41="","",MAX(PI$15:PI41))</f>
        <v/>
      </c>
      <c r="PP41" s="113" t="str">
        <f t="shared" si="11"/>
        <v/>
      </c>
      <c r="PQ41" s="41"/>
      <c r="PR41" s="302"/>
    </row>
    <row r="42" spans="1:434" s="1" customFormat="1" ht="15" customHeight="1" x14ac:dyDescent="0.45">
      <c r="A42" s="18">
        <v>43418</v>
      </c>
      <c r="B42" s="3" t="s">
        <v>295</v>
      </c>
      <c r="C42" s="4">
        <v>6425</v>
      </c>
      <c r="D42" s="10"/>
      <c r="E42" s="10"/>
      <c r="F42" s="10"/>
      <c r="G42" s="4"/>
      <c r="H42" s="4"/>
      <c r="I42" s="4">
        <v>17661</v>
      </c>
      <c r="J42" s="4">
        <v>12048</v>
      </c>
      <c r="K42" s="4"/>
      <c r="L42" s="4"/>
      <c r="M42" s="4"/>
      <c r="N42" s="4"/>
      <c r="O42" s="10"/>
      <c r="P42" s="4"/>
      <c r="Q42" s="4"/>
      <c r="R42" s="4">
        <v>24058</v>
      </c>
      <c r="S42" s="4"/>
      <c r="T42" s="4"/>
      <c r="U42" s="10">
        <v>50793</v>
      </c>
      <c r="V42" s="10"/>
      <c r="W42" s="10"/>
      <c r="X42" s="4"/>
      <c r="Y42" s="18">
        <f t="shared" si="41"/>
        <v>43405</v>
      </c>
      <c r="Z42" s="4"/>
      <c r="AA42" s="77" t="e">
        <f t="shared" si="21"/>
        <v>#VALUE!</v>
      </c>
      <c r="AB42" s="8">
        <f t="shared" si="27"/>
        <v>110985</v>
      </c>
      <c r="AC42" s="2"/>
      <c r="AD42" s="3" t="s">
        <v>322</v>
      </c>
      <c r="AE42" s="4">
        <v>64683</v>
      </c>
      <c r="AF42" s="4">
        <v>359331</v>
      </c>
      <c r="AG42" s="4"/>
      <c r="AH42" s="4"/>
      <c r="AJ42" s="4"/>
      <c r="AK42" s="4"/>
      <c r="AL42" s="4"/>
      <c r="AM42" s="4"/>
      <c r="AO42" s="4"/>
      <c r="AP42" s="10"/>
      <c r="AQ42" s="4"/>
      <c r="AR42" s="4"/>
      <c r="AS42" s="4"/>
      <c r="AT42" s="4"/>
      <c r="AU42" s="4"/>
      <c r="AW42" s="4"/>
      <c r="AX42" s="4">
        <v>11076</v>
      </c>
      <c r="AY42" s="4"/>
      <c r="AZ42" s="4"/>
      <c r="BA42" s="4"/>
      <c r="BB42" s="4"/>
      <c r="BC42" s="4"/>
      <c r="BD42" s="4"/>
      <c r="BE42" s="4"/>
      <c r="BF42" s="4"/>
      <c r="BH42" s="4"/>
      <c r="BI42" s="4"/>
      <c r="BJ42" s="4"/>
      <c r="BK42" s="4"/>
      <c r="BL42" s="4"/>
      <c r="BM42" s="4">
        <v>18389</v>
      </c>
      <c r="BN42" s="4">
        <v>19455</v>
      </c>
      <c r="BO42" s="4"/>
      <c r="BP42" s="4"/>
      <c r="BQ42" s="4"/>
      <c r="BS42" s="10"/>
      <c r="BT42" s="4"/>
      <c r="BU42" s="4"/>
      <c r="BV42" s="4"/>
      <c r="BW42" s="4"/>
      <c r="CA42" s="4">
        <v>94445</v>
      </c>
      <c r="CB42" s="4"/>
      <c r="CC42" s="4">
        <v>18161</v>
      </c>
      <c r="CD42" s="4"/>
      <c r="CE42" s="4"/>
      <c r="CF42" s="4"/>
      <c r="CG42" s="4"/>
      <c r="CH42" s="4"/>
      <c r="CI42" s="4"/>
      <c r="CJ42" s="10"/>
      <c r="CK42" s="4"/>
      <c r="CL42" s="10"/>
      <c r="CN42" s="4"/>
      <c r="CO42" s="10"/>
      <c r="CP42" s="4"/>
      <c r="CQ42" s="4">
        <v>16096</v>
      </c>
      <c r="CR42" s="10"/>
      <c r="CS42" s="4"/>
      <c r="CT42" s="4"/>
      <c r="CU42" s="4">
        <v>19290</v>
      </c>
      <c r="CV42" s="4"/>
      <c r="CW42" s="4"/>
      <c r="CX42" s="4"/>
      <c r="CY42" s="77" t="e">
        <f t="shared" si="12"/>
        <v>#VALUE!</v>
      </c>
      <c r="CZ42" s="8">
        <f t="shared" si="28"/>
        <v>620926</v>
      </c>
      <c r="DA42" s="2"/>
      <c r="DH42" s="4"/>
      <c r="DJ42" s="4"/>
      <c r="DX42" s="2"/>
      <c r="DY42" s="32"/>
      <c r="DZ42" s="4">
        <v>5</v>
      </c>
      <c r="EA42" s="32"/>
      <c r="EB42" s="32"/>
      <c r="EC42" s="32"/>
      <c r="ED42" s="32"/>
      <c r="EE42" s="4"/>
      <c r="EF42" s="4"/>
      <c r="EG42" s="32"/>
      <c r="EH42" s="32"/>
      <c r="EI42" s="32"/>
      <c r="EJ42" s="32"/>
      <c r="EK42" s="5"/>
      <c r="EO42" s="2"/>
      <c r="EQ42" s="468" t="s">
        <v>1</v>
      </c>
      <c r="ER42"/>
      <c r="ES42" s="6" t="s">
        <v>320</v>
      </c>
      <c r="ET42" s="10"/>
      <c r="EU42" s="10"/>
      <c r="EV42" s="10"/>
      <c r="EW42" s="10"/>
      <c r="EX42" s="4">
        <v>7073</v>
      </c>
      <c r="EY42" s="4">
        <v>15878</v>
      </c>
      <c r="EZ42" s="4">
        <v>18904</v>
      </c>
      <c r="FA42" s="4">
        <v>22886</v>
      </c>
      <c r="FB42" s="4"/>
      <c r="FC42" s="4"/>
      <c r="FD42" s="4"/>
      <c r="FE42" s="4"/>
      <c r="FF42" s="4"/>
      <c r="FG42" s="4"/>
      <c r="FH42" s="10">
        <v>17732</v>
      </c>
      <c r="FI42" s="10">
        <v>16893</v>
      </c>
      <c r="FJ42" s="10"/>
      <c r="FK42" s="10"/>
      <c r="FL42" s="10"/>
      <c r="FM42" s="10">
        <v>20757</v>
      </c>
      <c r="FN42" s="4"/>
      <c r="FO42" s="4"/>
      <c r="FP42" s="10">
        <v>18013</v>
      </c>
      <c r="FQ42" s="4"/>
      <c r="FR42" s="4"/>
      <c r="FS42" s="10">
        <v>17742</v>
      </c>
      <c r="FT42" s="4">
        <v>17661</v>
      </c>
      <c r="FU42" s="4">
        <v>12048</v>
      </c>
      <c r="FV42" s="4"/>
      <c r="FW42" s="4"/>
      <c r="FX42" s="4"/>
      <c r="FY42" s="4"/>
      <c r="FZ42" s="10">
        <v>21355</v>
      </c>
      <c r="GA42" s="10">
        <v>23710</v>
      </c>
      <c r="GB42" s="10"/>
      <c r="GC42" s="10"/>
      <c r="GD42" s="4"/>
      <c r="GE42" s="4"/>
      <c r="GF42" s="4">
        <v>17094</v>
      </c>
      <c r="GG42" s="4"/>
      <c r="GH42" s="4"/>
      <c r="GI42" s="4"/>
      <c r="GJ42" s="4"/>
      <c r="GK42" s="4"/>
      <c r="GL42" s="4"/>
      <c r="GM42" s="4">
        <v>20112</v>
      </c>
      <c r="GN42" s="10">
        <v>14225</v>
      </c>
      <c r="GO42" s="10">
        <v>23265</v>
      </c>
      <c r="GP42" s="4"/>
      <c r="GQ42" s="10"/>
      <c r="GR42" s="4">
        <v>20798</v>
      </c>
      <c r="GS42" s="10"/>
      <c r="GT42" s="4"/>
      <c r="GU42" s="10"/>
      <c r="GV42" s="4"/>
      <c r="GW42" s="10"/>
      <c r="GX42" s="10">
        <v>23576</v>
      </c>
      <c r="GY42" s="10"/>
      <c r="GZ42" s="10"/>
      <c r="HA42" s="18">
        <v>43405</v>
      </c>
      <c r="HB42" s="4">
        <v>4000</v>
      </c>
      <c r="HC42" s="77" t="e">
        <f t="shared" si="22"/>
        <v>#VALUE!</v>
      </c>
      <c r="HD42" s="8">
        <f t="shared" si="29"/>
        <v>349722</v>
      </c>
      <c r="HE42" s="2"/>
      <c r="HF42" s="3" t="s">
        <v>323</v>
      </c>
      <c r="HG42" s="4">
        <v>9961</v>
      </c>
      <c r="HH42" s="4"/>
      <c r="HI42" s="4"/>
      <c r="HJ42" s="4"/>
      <c r="HK42" s="4"/>
      <c r="HL42" s="4"/>
      <c r="HM42" s="4"/>
      <c r="HN42" s="4"/>
      <c r="HO42" s="4"/>
      <c r="HP42" s="4">
        <v>16620</v>
      </c>
      <c r="HQ42" s="4"/>
      <c r="HR42" s="4"/>
      <c r="HS42" s="4"/>
      <c r="HT42" s="10">
        <v>14125</v>
      </c>
      <c r="HU42" s="10"/>
      <c r="HV42" s="4"/>
      <c r="HW42" s="4"/>
      <c r="HX42" s="4"/>
      <c r="HY42" s="4"/>
      <c r="HZ42" s="4"/>
      <c r="IA42" s="4"/>
      <c r="IB42" s="4"/>
      <c r="IC42" s="4">
        <v>16574</v>
      </c>
      <c r="ID42" s="10">
        <v>20496</v>
      </c>
      <c r="IE42" s="4"/>
      <c r="IF42" s="10"/>
      <c r="IG42" s="4"/>
      <c r="IH42" s="4"/>
      <c r="II42" s="4"/>
      <c r="IJ42" s="4"/>
      <c r="IK42" s="4"/>
      <c r="IL42" s="4"/>
      <c r="IM42" s="4"/>
      <c r="IN42" s="4"/>
      <c r="IO42" s="4"/>
      <c r="IP42" s="4"/>
      <c r="IQ42" s="4"/>
      <c r="IR42" s="4">
        <v>18389</v>
      </c>
      <c r="IS42" s="4">
        <v>19455</v>
      </c>
      <c r="IT42" s="10">
        <v>23545</v>
      </c>
      <c r="IU42" s="4"/>
      <c r="IV42" s="4"/>
      <c r="IW42" s="4"/>
      <c r="IX42" s="10">
        <v>21466</v>
      </c>
      <c r="IY42" s="4"/>
      <c r="IZ42" s="4"/>
      <c r="JA42" s="4"/>
      <c r="JB42" s="4"/>
      <c r="JC42" s="4"/>
      <c r="JD42" s="4"/>
      <c r="JE42" s="4"/>
      <c r="JF42" s="10"/>
      <c r="JG42" s="10"/>
      <c r="JH42" s="10"/>
      <c r="JI42" s="4"/>
      <c r="JJ42" s="4"/>
      <c r="JK42" s="4"/>
      <c r="JL42" s="4">
        <v>22227</v>
      </c>
      <c r="JM42" s="4"/>
      <c r="JN42" s="10"/>
      <c r="JO42" s="10"/>
      <c r="JP42" s="4"/>
      <c r="JQ42" s="4"/>
      <c r="JR42" s="4"/>
      <c r="JS42" s="4"/>
      <c r="JT42" s="4"/>
      <c r="JU42" s="10"/>
      <c r="JV42" s="4"/>
      <c r="JW42" s="4"/>
      <c r="JX42" s="4"/>
      <c r="JY42" s="4"/>
      <c r="JZ42" s="4"/>
      <c r="KA42" s="4">
        <v>14850</v>
      </c>
      <c r="KB42" s="4"/>
      <c r="KC42" s="4"/>
      <c r="KD42" s="10">
        <v>15216</v>
      </c>
      <c r="KE42" s="10">
        <v>22802</v>
      </c>
      <c r="KF42" s="10">
        <v>13467</v>
      </c>
      <c r="KG42" s="4"/>
      <c r="KH42" s="10"/>
      <c r="KI42" s="10"/>
      <c r="KJ42" s="10">
        <v>16507</v>
      </c>
      <c r="KK42" s="10">
        <v>16468</v>
      </c>
      <c r="KL42" s="4">
        <v>16096</v>
      </c>
      <c r="KM42" s="10"/>
      <c r="KN42" s="4"/>
      <c r="KO42" s="4"/>
      <c r="KP42" s="4">
        <v>19290</v>
      </c>
      <c r="KQ42" s="4"/>
      <c r="KR42" s="10"/>
      <c r="KS42" s="4">
        <v>19778</v>
      </c>
      <c r="KT42" s="4"/>
      <c r="KU42" s="4"/>
      <c r="KV42" s="4"/>
      <c r="KW42" s="4"/>
      <c r="KX42" s="18"/>
      <c r="KY42" s="31"/>
      <c r="KZ42" s="77" t="e">
        <f t="shared" si="23"/>
        <v>#VALUE!</v>
      </c>
      <c r="LA42" s="8">
        <f t="shared" si="30"/>
        <v>337332</v>
      </c>
      <c r="LB42" s="2"/>
      <c r="LC42" s="43"/>
      <c r="MO42" s="172"/>
      <c r="NO42" s="77"/>
      <c r="NP42" s="63"/>
      <c r="NQ42"/>
      <c r="NR42" s="77" t="e">
        <f t="shared" si="24"/>
        <v>#VALUE!</v>
      </c>
      <c r="NS42" s="8">
        <f t="shared" si="4"/>
        <v>0</v>
      </c>
      <c r="NT42" s="2"/>
      <c r="NU42" s="3" t="s">
        <v>295</v>
      </c>
      <c r="NV42" s="4">
        <v>5</v>
      </c>
      <c r="NW42" s="4"/>
      <c r="NX42" s="4"/>
      <c r="NY42" s="4"/>
      <c r="NZ42" s="4"/>
      <c r="OA42" s="4"/>
      <c r="OB42" s="4"/>
      <c r="OC42" s="4">
        <v>23882</v>
      </c>
      <c r="OD42" s="4"/>
      <c r="OE42" s="77" t="e">
        <f t="shared" si="25"/>
        <v>#VALUE!</v>
      </c>
      <c r="OF42" s="8">
        <f t="shared" si="5"/>
        <v>23887</v>
      </c>
      <c r="OG42" s="2"/>
      <c r="OJ42" s="40"/>
      <c r="OK42" s="40"/>
      <c r="OL42" s="40"/>
      <c r="OM42" s="40"/>
      <c r="ON42" s="40"/>
      <c r="OO42" s="40"/>
      <c r="OQ42" s="40"/>
      <c r="OR42" s="77"/>
      <c r="OS42" s="35"/>
      <c r="OT42" s="37"/>
      <c r="OU42" s="126">
        <f t="shared" si="31"/>
        <v>755798</v>
      </c>
      <c r="OV42" s="71" t="e">
        <f t="shared" si="9"/>
        <v>#VALUE!</v>
      </c>
      <c r="OW42" s="139">
        <f>IF(A42="","",SUM(Z$17:Z42))</f>
        <v>20000</v>
      </c>
      <c r="OX42" s="139">
        <f t="shared" si="32"/>
        <v>775798</v>
      </c>
      <c r="OY42" s="132">
        <f t="shared" si="33"/>
        <v>8.7177633063289933E-2</v>
      </c>
      <c r="OZ42" s="140">
        <f t="shared" si="34"/>
        <v>687054</v>
      </c>
      <c r="PA42" s="84" t="e">
        <f t="shared" si="15"/>
        <v>#VALUE!</v>
      </c>
      <c r="PB42" s="130">
        <f>IF(A42="","",SUM(HB$17:HB42)+SUM(KY$17:KY42))</f>
        <v>55245.98</v>
      </c>
      <c r="PC42" s="131">
        <f t="shared" si="35"/>
        <v>742299.98</v>
      </c>
      <c r="PD42" s="132">
        <f t="shared" si="36"/>
        <v>0.12380981074030951</v>
      </c>
      <c r="PE42" s="133"/>
      <c r="PF42" s="134"/>
      <c r="PG42" s="133"/>
      <c r="PH42" s="134"/>
      <c r="PI42" s="135">
        <f t="shared" si="37"/>
        <v>1442852</v>
      </c>
      <c r="PJ42" s="136" t="e">
        <f t="shared" si="10"/>
        <v>#VALUE!</v>
      </c>
      <c r="PK42" s="123"/>
      <c r="PL42" s="137">
        <f t="shared" si="38"/>
        <v>75245.98000000001</v>
      </c>
      <c r="PM42" s="9">
        <f t="shared" si="39"/>
        <v>1518097.98</v>
      </c>
      <c r="PN42" s="138">
        <f t="shared" si="40"/>
        <v>0.10478635625968807</v>
      </c>
      <c r="PO42" s="86">
        <f>IF(PI42="","",MAX(PI$15:PI42))</f>
        <v>1516789</v>
      </c>
      <c r="PP42" s="113">
        <f t="shared" si="11"/>
        <v>-5.1243647997161176E-2</v>
      </c>
      <c r="PQ42" s="41"/>
      <c r="PR42" s="302"/>
    </row>
    <row r="43" spans="1:434" s="1" customFormat="1" ht="15" customHeight="1" x14ac:dyDescent="0.45">
      <c r="A43" s="18">
        <v>43435</v>
      </c>
      <c r="B43" s="3" t="s">
        <v>295</v>
      </c>
      <c r="C43" s="4">
        <v>6570</v>
      </c>
      <c r="D43" s="10"/>
      <c r="E43" s="10"/>
      <c r="F43" s="10"/>
      <c r="G43" s="4"/>
      <c r="H43" s="4"/>
      <c r="I43" s="4"/>
      <c r="J43" s="4"/>
      <c r="K43" s="4"/>
      <c r="L43" s="4"/>
      <c r="M43" s="4"/>
      <c r="N43" s="4"/>
      <c r="O43" s="10"/>
      <c r="P43" s="4"/>
      <c r="Q43" s="4"/>
      <c r="R43" s="4">
        <v>24656</v>
      </c>
      <c r="S43" s="4">
        <v>21863</v>
      </c>
      <c r="T43" s="4"/>
      <c r="U43" s="10">
        <v>51020</v>
      </c>
      <c r="V43" s="10"/>
      <c r="W43" s="10"/>
      <c r="X43" s="4"/>
      <c r="Y43" s="18">
        <f t="shared" si="41"/>
        <v>43435</v>
      </c>
      <c r="Z43" s="4"/>
      <c r="AA43" s="77">
        <f t="shared" si="21"/>
        <v>-6.1954318151101501E-2</v>
      </c>
      <c r="AB43" s="8">
        <f t="shared" si="27"/>
        <v>104109</v>
      </c>
      <c r="AC43" s="2"/>
      <c r="AD43" s="7" t="s">
        <v>295</v>
      </c>
      <c r="AE43" s="4">
        <v>66776</v>
      </c>
      <c r="AF43" s="4">
        <v>358000</v>
      </c>
      <c r="AG43" s="4"/>
      <c r="AH43" s="4"/>
      <c r="AJ43" s="4"/>
      <c r="AK43" s="4"/>
      <c r="AL43" s="4"/>
      <c r="AM43" s="4"/>
      <c r="AO43" s="4"/>
      <c r="AP43" s="10"/>
      <c r="AQ43" s="4"/>
      <c r="AR43" s="4"/>
      <c r="AS43" s="4"/>
      <c r="AT43" s="4"/>
      <c r="AU43" s="4"/>
      <c r="AW43" s="4"/>
      <c r="AX43" s="4">
        <v>11016</v>
      </c>
      <c r="AY43" s="4"/>
      <c r="AZ43" s="4"/>
      <c r="BA43" s="4"/>
      <c r="BB43" s="4"/>
      <c r="BC43" s="4"/>
      <c r="BD43" s="4"/>
      <c r="BE43" s="4"/>
      <c r="BF43" s="4"/>
      <c r="BH43" s="4"/>
      <c r="BI43" s="4"/>
      <c r="BJ43" s="4"/>
      <c r="BK43" s="4"/>
      <c r="BL43" s="4"/>
      <c r="BM43" s="4">
        <v>18779</v>
      </c>
      <c r="BN43" s="4">
        <v>19825</v>
      </c>
      <c r="BO43" s="4"/>
      <c r="BP43" s="4"/>
      <c r="BQ43" s="4"/>
      <c r="BS43" s="10"/>
      <c r="BT43" s="4"/>
      <c r="BU43" s="4"/>
      <c r="BV43" s="4"/>
      <c r="BW43" s="4"/>
      <c r="CA43" s="4">
        <v>94205</v>
      </c>
      <c r="CB43" s="4"/>
      <c r="CC43" s="4">
        <v>18129</v>
      </c>
      <c r="CD43" s="4"/>
      <c r="CE43" s="4"/>
      <c r="CF43" s="4"/>
      <c r="CG43" s="4"/>
      <c r="CH43" s="4"/>
      <c r="CI43" s="4"/>
      <c r="CJ43" s="10"/>
      <c r="CK43" s="4"/>
      <c r="CL43" s="10"/>
      <c r="CN43" s="4"/>
      <c r="CO43" s="10"/>
      <c r="CP43" s="4"/>
      <c r="CQ43" s="4">
        <v>16396</v>
      </c>
      <c r="CR43" s="10"/>
      <c r="CS43" s="4"/>
      <c r="CT43" s="4"/>
      <c r="CU43" s="4">
        <v>18956</v>
      </c>
      <c r="CV43" s="4"/>
      <c r="CW43" s="4"/>
      <c r="CX43" s="4"/>
      <c r="CY43" s="77">
        <f t="shared" si="12"/>
        <v>1.8617355369238847E-3</v>
      </c>
      <c r="CZ43" s="8">
        <f t="shared" si="28"/>
        <v>622082</v>
      </c>
      <c r="DA43" s="2"/>
      <c r="DH43" s="4"/>
      <c r="DJ43" s="4"/>
      <c r="DX43" s="2"/>
      <c r="DY43" s="32"/>
      <c r="DZ43" s="4">
        <v>5</v>
      </c>
      <c r="EA43" s="32"/>
      <c r="EB43" s="32"/>
      <c r="EC43" s="32"/>
      <c r="ED43" s="32"/>
      <c r="EE43" s="4"/>
      <c r="EF43" s="4"/>
      <c r="EG43" s="32"/>
      <c r="EH43" s="32"/>
      <c r="EI43" s="32"/>
      <c r="EJ43" s="32"/>
      <c r="EK43" s="5"/>
      <c r="EO43" s="2"/>
      <c r="EQ43" s="468" t="s">
        <v>1</v>
      </c>
      <c r="ER43"/>
      <c r="ES43" s="6" t="s">
        <v>324</v>
      </c>
      <c r="ET43" s="10"/>
      <c r="EU43" s="10"/>
      <c r="EV43" s="10"/>
      <c r="EW43" s="10"/>
      <c r="EX43" s="4">
        <f>23266-13667</f>
        <v>9599</v>
      </c>
      <c r="EY43" s="4">
        <v>15179</v>
      </c>
      <c r="EZ43" s="4">
        <v>18871</v>
      </c>
      <c r="FA43" s="4"/>
      <c r="FB43" s="4"/>
      <c r="FC43" s="4"/>
      <c r="FD43" s="4"/>
      <c r="FE43" s="4"/>
      <c r="FF43" s="4"/>
      <c r="FG43" s="4"/>
      <c r="FH43" s="10">
        <v>19148</v>
      </c>
      <c r="FI43" s="10">
        <v>17808</v>
      </c>
      <c r="FJ43" s="10">
        <v>7378</v>
      </c>
      <c r="FK43" s="10"/>
      <c r="FL43" s="10"/>
      <c r="FM43" s="10">
        <v>21390</v>
      </c>
      <c r="FN43" s="4"/>
      <c r="FO43" s="4"/>
      <c r="FP43" s="10">
        <v>18320</v>
      </c>
      <c r="FQ43" s="4"/>
      <c r="FR43" s="4"/>
      <c r="FS43" s="10">
        <v>18605</v>
      </c>
      <c r="FT43" s="4"/>
      <c r="FU43" s="4"/>
      <c r="FV43" s="4"/>
      <c r="FW43" s="4"/>
      <c r="FX43" s="4"/>
      <c r="FY43" s="4"/>
      <c r="FZ43" s="10">
        <v>21233</v>
      </c>
      <c r="GA43" s="10">
        <v>24128</v>
      </c>
      <c r="GB43" s="10"/>
      <c r="GC43" s="10"/>
      <c r="GD43" s="4"/>
      <c r="GE43" s="4"/>
      <c r="GF43" s="4">
        <v>17066</v>
      </c>
      <c r="GG43" s="4"/>
      <c r="GH43" s="4"/>
      <c r="GI43" s="4"/>
      <c r="GJ43" s="4">
        <v>19469</v>
      </c>
      <c r="GK43" s="4"/>
      <c r="GL43" s="4"/>
      <c r="GM43" s="4">
        <v>20016</v>
      </c>
      <c r="GN43" s="10"/>
      <c r="GO43" s="10">
        <v>23590</v>
      </c>
      <c r="GP43" s="4"/>
      <c r="GQ43" s="10"/>
      <c r="GR43" s="4">
        <v>21529</v>
      </c>
      <c r="GS43" s="10"/>
      <c r="GT43" s="4">
        <v>21863</v>
      </c>
      <c r="GU43" s="10"/>
      <c r="GV43" s="4"/>
      <c r="GW43" s="10">
        <v>16868</v>
      </c>
      <c r="GX43" s="10">
        <v>24120</v>
      </c>
      <c r="GY43" s="10"/>
      <c r="GZ43" s="10"/>
      <c r="HA43" s="18">
        <v>43435</v>
      </c>
      <c r="HB43" s="4">
        <v>4000</v>
      </c>
      <c r="HC43" s="77">
        <f t="shared" si="22"/>
        <v>1.8466095927622512E-2</v>
      </c>
      <c r="HD43" s="8">
        <f t="shared" si="29"/>
        <v>356180</v>
      </c>
      <c r="HE43" s="2"/>
      <c r="HF43" s="3" t="s">
        <v>295</v>
      </c>
      <c r="HG43" s="4">
        <f>9977+150</f>
        <v>10127</v>
      </c>
      <c r="HH43" s="4"/>
      <c r="HI43" s="4"/>
      <c r="HJ43" s="4"/>
      <c r="HK43" s="4"/>
      <c r="HL43" s="4"/>
      <c r="HM43" s="4"/>
      <c r="HN43" s="4"/>
      <c r="HO43" s="4"/>
      <c r="HP43" s="4">
        <v>17152</v>
      </c>
      <c r="HQ43" s="4"/>
      <c r="HR43" s="4"/>
      <c r="HS43" s="4"/>
      <c r="HT43" s="10">
        <v>14478</v>
      </c>
      <c r="HU43" s="10"/>
      <c r="HV43" s="4"/>
      <c r="HW43" s="4"/>
      <c r="HX43" s="4"/>
      <c r="HY43" s="4"/>
      <c r="HZ43" s="4"/>
      <c r="IA43" s="4"/>
      <c r="IB43" s="4"/>
      <c r="IC43" s="4">
        <v>15500</v>
      </c>
      <c r="ID43" s="10">
        <v>20211</v>
      </c>
      <c r="IE43" s="4"/>
      <c r="IF43" s="10"/>
      <c r="IG43" s="4"/>
      <c r="IH43" s="4"/>
      <c r="II43" s="4"/>
      <c r="IJ43" s="4"/>
      <c r="IK43" s="4"/>
      <c r="IL43" s="4"/>
      <c r="IM43" s="4"/>
      <c r="IN43" s="4"/>
      <c r="IO43" s="4"/>
      <c r="IP43" s="4"/>
      <c r="IQ43" s="4"/>
      <c r="IR43" s="4">
        <v>18779</v>
      </c>
      <c r="IS43" s="4">
        <v>19825</v>
      </c>
      <c r="IT43" s="10">
        <v>24655</v>
      </c>
      <c r="IU43" s="4"/>
      <c r="IV43" s="4"/>
      <c r="IW43" s="4"/>
      <c r="IX43" s="10">
        <v>22238</v>
      </c>
      <c r="IY43" s="4"/>
      <c r="IZ43" s="4"/>
      <c r="JA43" s="4"/>
      <c r="JB43" s="4"/>
      <c r="JC43" s="4"/>
      <c r="JD43" s="4"/>
      <c r="JE43" s="4"/>
      <c r="JF43" s="10"/>
      <c r="JG43" s="10"/>
      <c r="JH43" s="10"/>
      <c r="JI43" s="4"/>
      <c r="JJ43" s="4"/>
      <c r="JK43" s="4"/>
      <c r="JL43" s="4">
        <v>23802</v>
      </c>
      <c r="JM43" s="4"/>
      <c r="JN43" s="10"/>
      <c r="JO43" s="10"/>
      <c r="JP43" s="4"/>
      <c r="JQ43" s="4"/>
      <c r="JR43" s="4"/>
      <c r="JS43" s="4"/>
      <c r="JT43" s="4"/>
      <c r="JU43" s="10"/>
      <c r="JV43" s="4"/>
      <c r="JW43" s="4"/>
      <c r="JX43" s="4"/>
      <c r="JY43" s="4"/>
      <c r="JZ43" s="4"/>
      <c r="KA43" s="4">
        <v>14977</v>
      </c>
      <c r="KB43" s="4"/>
      <c r="KC43" s="4"/>
      <c r="KD43" s="10">
        <v>15355</v>
      </c>
      <c r="KE43" s="10">
        <v>22901</v>
      </c>
      <c r="KF43" s="10">
        <v>13518</v>
      </c>
      <c r="KG43" s="4"/>
      <c r="KH43" s="10"/>
      <c r="KI43" s="10"/>
      <c r="KJ43" s="10">
        <v>16845</v>
      </c>
      <c r="KK43" s="10">
        <v>15980</v>
      </c>
      <c r="KL43" s="4">
        <v>16396</v>
      </c>
      <c r="KM43" s="10"/>
      <c r="KN43" s="4"/>
      <c r="KO43" s="4"/>
      <c r="KP43" s="4">
        <v>18956</v>
      </c>
      <c r="KQ43" s="4"/>
      <c r="KR43" s="10"/>
      <c r="KS43" s="4">
        <v>20228</v>
      </c>
      <c r="KT43" s="4"/>
      <c r="KU43" s="4"/>
      <c r="KV43" s="4"/>
      <c r="KW43" s="4"/>
      <c r="KX43" s="18"/>
      <c r="KY43" s="31"/>
      <c r="KZ43" s="77">
        <f t="shared" si="23"/>
        <v>1.3609737587895604E-2</v>
      </c>
      <c r="LA43" s="8">
        <f t="shared" si="30"/>
        <v>341923</v>
      </c>
      <c r="LB43" s="2"/>
      <c r="LC43" s="43"/>
      <c r="MO43" s="172"/>
      <c r="NO43" s="77"/>
      <c r="NP43" s="63"/>
      <c r="NQ43"/>
      <c r="NR43" s="77" t="e">
        <f t="shared" si="24"/>
        <v>#DIV/0!</v>
      </c>
      <c r="NS43" s="8">
        <f t="shared" si="4"/>
        <v>0</v>
      </c>
      <c r="NT43" s="2"/>
      <c r="NU43" s="3" t="s">
        <v>295</v>
      </c>
      <c r="NV43" s="4">
        <v>5</v>
      </c>
      <c r="NW43" s="4"/>
      <c r="NX43" s="4"/>
      <c r="NY43" s="4"/>
      <c r="NZ43" s="4"/>
      <c r="OA43" s="4"/>
      <c r="OB43" s="4"/>
      <c r="OC43" s="4">
        <v>23719</v>
      </c>
      <c r="OD43" s="4"/>
      <c r="OE43" s="77">
        <f t="shared" si="25"/>
        <v>-6.8237953698664549E-3</v>
      </c>
      <c r="OF43" s="8">
        <f t="shared" si="5"/>
        <v>23724</v>
      </c>
      <c r="OG43" s="2"/>
      <c r="OJ43" s="40"/>
      <c r="OK43" s="40"/>
      <c r="OL43" s="40"/>
      <c r="OM43" s="40"/>
      <c r="ON43" s="40"/>
      <c r="OO43" s="40"/>
      <c r="OQ43" s="40"/>
      <c r="OR43" s="77"/>
      <c r="OS43" s="35"/>
      <c r="OT43" s="37"/>
      <c r="OU43" s="126">
        <f t="shared" si="31"/>
        <v>749915</v>
      </c>
      <c r="OV43" s="71">
        <f t="shared" si="9"/>
        <v>-7.7838258370622835E-3</v>
      </c>
      <c r="OW43" s="139">
        <f>IF(A43="","",SUM(Z$17:Z43))</f>
        <v>20000</v>
      </c>
      <c r="OX43" s="139">
        <f t="shared" si="32"/>
        <v>769915</v>
      </c>
      <c r="OY43" s="132">
        <f t="shared" si="33"/>
        <v>7.8933391630196095E-2</v>
      </c>
      <c r="OZ43" s="140">
        <f t="shared" si="34"/>
        <v>698103</v>
      </c>
      <c r="PA43" s="84">
        <f t="shared" si="15"/>
        <v>1.6081705368137002E-2</v>
      </c>
      <c r="PB43" s="130">
        <f>IF(A43="","",SUM(HB$17:HB43)+SUM(KY$17:KY43))</f>
        <v>59245.98</v>
      </c>
      <c r="PC43" s="131">
        <f t="shared" si="35"/>
        <v>757348.98</v>
      </c>
      <c r="PD43" s="132">
        <f t="shared" si="36"/>
        <v>0.14659334071134753</v>
      </c>
      <c r="PE43" s="133"/>
      <c r="PF43" s="134"/>
      <c r="PG43" s="133"/>
      <c r="PH43" s="134"/>
      <c r="PI43" s="135">
        <f t="shared" si="37"/>
        <v>1448018</v>
      </c>
      <c r="PJ43" s="136">
        <f t="shared" si="10"/>
        <v>3.580408801457114E-3</v>
      </c>
      <c r="PK43" s="123"/>
      <c r="PL43" s="137">
        <f t="shared" si="38"/>
        <v>79245.98000000001</v>
      </c>
      <c r="PM43" s="9">
        <f t="shared" si="39"/>
        <v>1527263.98</v>
      </c>
      <c r="PN43" s="138">
        <f t="shared" si="40"/>
        <v>0.11145685571024153</v>
      </c>
      <c r="PO43" s="86">
        <f>IF(PI43="","",MAX(PI$15:PI43))</f>
        <v>1516789</v>
      </c>
      <c r="PP43" s="113">
        <f t="shared" si="11"/>
        <v>-4.7493194145376644E-2</v>
      </c>
      <c r="PQ43" s="41"/>
      <c r="PR43" s="302"/>
    </row>
    <row r="44" spans="1:434" s="1" customFormat="1" ht="15" customHeight="1" x14ac:dyDescent="0.45">
      <c r="A44" s="18">
        <v>43466</v>
      </c>
      <c r="B44" s="3" t="s">
        <v>295</v>
      </c>
      <c r="C44" s="4">
        <v>6923</v>
      </c>
      <c r="D44" s="10"/>
      <c r="E44" s="10"/>
      <c r="F44" s="10"/>
      <c r="G44" s="4"/>
      <c r="H44" s="4"/>
      <c r="I44" s="4"/>
      <c r="J44" s="4"/>
      <c r="K44" s="4"/>
      <c r="L44" s="4"/>
      <c r="M44" s="4"/>
      <c r="N44" s="4"/>
      <c r="O44" s="10"/>
      <c r="P44" s="4"/>
      <c r="Q44" s="4"/>
      <c r="R44" s="4">
        <v>23406</v>
      </c>
      <c r="S44" s="4">
        <v>20405</v>
      </c>
      <c r="T44" s="4"/>
      <c r="U44" s="10">
        <v>51338</v>
      </c>
      <c r="V44" s="10"/>
      <c r="W44" s="10"/>
      <c r="X44" s="4"/>
      <c r="Y44" s="18">
        <f t="shared" si="41"/>
        <v>43467</v>
      </c>
      <c r="Z44" s="4"/>
      <c r="AA44" s="77">
        <f t="shared" si="21"/>
        <v>-1.9566031755179666E-2</v>
      </c>
      <c r="AB44" s="8">
        <f t="shared" si="27"/>
        <v>102072</v>
      </c>
      <c r="AC44" s="2"/>
      <c r="AD44" s="7" t="s">
        <v>295</v>
      </c>
      <c r="AE44" s="4">
        <v>66889</v>
      </c>
      <c r="AF44" s="4">
        <v>360760</v>
      </c>
      <c r="AG44" s="4"/>
      <c r="AH44" s="4"/>
      <c r="AJ44" s="4"/>
      <c r="AK44" s="4"/>
      <c r="AL44" s="4"/>
      <c r="AM44" s="4"/>
      <c r="AO44" s="4"/>
      <c r="AP44" s="10"/>
      <c r="AQ44" s="4"/>
      <c r="AR44" s="4"/>
      <c r="AS44" s="4"/>
      <c r="AT44" s="4"/>
      <c r="AU44" s="4"/>
      <c r="AW44" s="4"/>
      <c r="AX44" s="4">
        <v>11098</v>
      </c>
      <c r="AY44" s="4"/>
      <c r="AZ44" s="4"/>
      <c r="BA44" s="4"/>
      <c r="BB44" s="4"/>
      <c r="BC44" s="4"/>
      <c r="BD44" s="4"/>
      <c r="BE44" s="4"/>
      <c r="BF44" s="4"/>
      <c r="BH44" s="4"/>
      <c r="BI44" s="4"/>
      <c r="BJ44" s="4"/>
      <c r="BK44" s="4"/>
      <c r="BL44" s="4"/>
      <c r="BM44" s="4">
        <v>16606</v>
      </c>
      <c r="BN44" s="4">
        <v>17330</v>
      </c>
      <c r="BO44" s="4"/>
      <c r="BP44" s="4"/>
      <c r="BQ44" s="4"/>
      <c r="BS44" s="10"/>
      <c r="BT44" s="4"/>
      <c r="BU44" s="4"/>
      <c r="BV44" s="4"/>
      <c r="BW44" s="4"/>
      <c r="CA44" s="4">
        <v>94939</v>
      </c>
      <c r="CB44" s="4"/>
      <c r="CC44" s="4">
        <v>18073</v>
      </c>
      <c r="CD44" s="4"/>
      <c r="CE44" s="4"/>
      <c r="CF44" s="4"/>
      <c r="CG44" s="4"/>
      <c r="CH44" s="4"/>
      <c r="CI44" s="4"/>
      <c r="CJ44" s="10"/>
      <c r="CK44" s="4"/>
      <c r="CL44" s="10"/>
      <c r="CN44" s="4"/>
      <c r="CO44" s="10"/>
      <c r="CP44" s="4"/>
      <c r="CQ44" s="4">
        <v>14914</v>
      </c>
      <c r="CR44" s="10"/>
      <c r="CS44" s="4"/>
      <c r="CT44" s="4"/>
      <c r="CU44" s="4">
        <v>18929</v>
      </c>
      <c r="CV44" s="4"/>
      <c r="CW44" s="4"/>
      <c r="CX44" s="4"/>
      <c r="CY44" s="77">
        <f t="shared" si="12"/>
        <v>-4.0894930250352851E-3</v>
      </c>
      <c r="CZ44" s="8">
        <f t="shared" si="28"/>
        <v>619538</v>
      </c>
      <c r="DA44" s="2"/>
      <c r="DH44" s="4"/>
      <c r="DJ44" s="4"/>
      <c r="DX44" s="2"/>
      <c r="DY44" s="32"/>
      <c r="DZ44" s="4"/>
      <c r="EA44" s="32"/>
      <c r="EB44" s="32"/>
      <c r="EC44" s="32"/>
      <c r="ED44" s="32"/>
      <c r="EE44" s="4"/>
      <c r="EF44" s="4"/>
      <c r="EG44" s="32"/>
      <c r="EH44" s="32"/>
      <c r="EI44" s="32"/>
      <c r="EJ44" s="32"/>
      <c r="EK44" s="5"/>
      <c r="EO44" s="2"/>
      <c r="EQ44" s="468" t="s">
        <v>1</v>
      </c>
      <c r="ER44"/>
      <c r="ES44" s="3" t="s">
        <v>295</v>
      </c>
      <c r="ET44" s="10"/>
      <c r="EU44" s="10"/>
      <c r="EV44" s="10"/>
      <c r="EW44" s="10"/>
      <c r="EX44" s="4">
        <v>6298</v>
      </c>
      <c r="EY44" s="4">
        <v>13408</v>
      </c>
      <c r="EZ44" s="4">
        <v>17938</v>
      </c>
      <c r="FA44" s="4"/>
      <c r="FB44" s="4"/>
      <c r="FC44" s="4"/>
      <c r="FD44" s="4"/>
      <c r="FE44" s="4"/>
      <c r="FF44" s="4"/>
      <c r="FG44" s="4"/>
      <c r="FH44" s="10">
        <v>17332</v>
      </c>
      <c r="FI44" s="10">
        <v>15870</v>
      </c>
      <c r="FJ44" s="10">
        <v>6027</v>
      </c>
      <c r="FK44" s="10"/>
      <c r="FL44" s="10"/>
      <c r="FM44" s="10">
        <v>17694</v>
      </c>
      <c r="FN44" s="4"/>
      <c r="FO44" s="4"/>
      <c r="FP44" s="10">
        <v>12906</v>
      </c>
      <c r="FQ44" s="4"/>
      <c r="FR44" s="4"/>
      <c r="FS44" s="10">
        <v>17605</v>
      </c>
      <c r="FT44" s="4"/>
      <c r="FU44" s="4"/>
      <c r="FV44" s="4"/>
      <c r="FW44" s="4"/>
      <c r="FX44" s="4"/>
      <c r="FY44" s="4"/>
      <c r="FZ44" s="10">
        <v>20781</v>
      </c>
      <c r="GA44" s="10">
        <v>22638</v>
      </c>
      <c r="GB44" s="10"/>
      <c r="GC44" s="10"/>
      <c r="GD44" s="4"/>
      <c r="GE44" s="4"/>
      <c r="GF44" s="4">
        <v>15803</v>
      </c>
      <c r="GG44" s="4"/>
      <c r="GH44" s="4"/>
      <c r="GI44" s="4"/>
      <c r="GJ44" s="4">
        <v>15021</v>
      </c>
      <c r="GK44" s="4"/>
      <c r="GL44" s="4"/>
      <c r="GM44" s="4">
        <v>19320</v>
      </c>
      <c r="GN44" s="10"/>
      <c r="GO44" s="10">
        <v>21931</v>
      </c>
      <c r="GP44" s="4"/>
      <c r="GQ44" s="10"/>
      <c r="GR44" s="4">
        <v>19352</v>
      </c>
      <c r="GS44" s="10"/>
      <c r="GT44" s="4">
        <v>20405</v>
      </c>
      <c r="GU44" s="10"/>
      <c r="GV44" s="4"/>
      <c r="GW44" s="10">
        <v>16193</v>
      </c>
      <c r="GX44" s="10">
        <v>22488</v>
      </c>
      <c r="GY44" s="10"/>
      <c r="GZ44" s="10"/>
      <c r="HA44" s="18">
        <v>43467</v>
      </c>
      <c r="HB44" s="4">
        <v>4000</v>
      </c>
      <c r="HC44" s="77">
        <f t="shared" si="22"/>
        <v>-0.10435734740861362</v>
      </c>
      <c r="HD44" s="8">
        <f t="shared" si="29"/>
        <v>319010</v>
      </c>
      <c r="HE44" s="2"/>
      <c r="HF44" s="3" t="s">
        <v>295</v>
      </c>
      <c r="HG44" s="4">
        <v>11437</v>
      </c>
      <c r="HH44" s="4"/>
      <c r="HI44" s="4"/>
      <c r="HJ44" s="4"/>
      <c r="HK44" s="4"/>
      <c r="HL44" s="4"/>
      <c r="HM44" s="4"/>
      <c r="HN44" s="4"/>
      <c r="HO44" s="4"/>
      <c r="HP44" s="4">
        <v>15812</v>
      </c>
      <c r="HQ44" s="4"/>
      <c r="HR44" s="4"/>
      <c r="HS44" s="4"/>
      <c r="HT44" s="10">
        <v>13110</v>
      </c>
      <c r="HU44" s="10"/>
      <c r="HV44" s="4"/>
      <c r="HW44" s="4"/>
      <c r="HX44" s="4"/>
      <c r="HY44" s="4"/>
      <c r="HZ44" s="4"/>
      <c r="IA44" s="4"/>
      <c r="IB44" s="4"/>
      <c r="IC44" s="4">
        <v>14572</v>
      </c>
      <c r="ID44" s="10">
        <v>19189</v>
      </c>
      <c r="IE44" s="4"/>
      <c r="IF44" s="10"/>
      <c r="IG44" s="4"/>
      <c r="IH44" s="4"/>
      <c r="II44" s="4"/>
      <c r="IJ44" s="4"/>
      <c r="IK44" s="4"/>
      <c r="IL44" s="4"/>
      <c r="IM44" s="4"/>
      <c r="IN44" s="4"/>
      <c r="IO44" s="4"/>
      <c r="IP44" s="4"/>
      <c r="IQ44" s="4"/>
      <c r="IR44" s="4">
        <v>16606</v>
      </c>
      <c r="IS44" s="4">
        <v>17330</v>
      </c>
      <c r="IT44" s="10">
        <v>23465</v>
      </c>
      <c r="IU44" s="4"/>
      <c r="IV44" s="4"/>
      <c r="IW44" s="4"/>
      <c r="IX44" s="10">
        <v>19524</v>
      </c>
      <c r="IY44" s="4"/>
      <c r="IZ44" s="4"/>
      <c r="JA44" s="4"/>
      <c r="JB44" s="4"/>
      <c r="JC44" s="4"/>
      <c r="JD44" s="4"/>
      <c r="JE44" s="4"/>
      <c r="JF44" s="10"/>
      <c r="JG44" s="10"/>
      <c r="JH44" s="10"/>
      <c r="JI44" s="4"/>
      <c r="JJ44" s="4"/>
      <c r="JK44" s="4"/>
      <c r="JL44" s="4">
        <v>22923</v>
      </c>
      <c r="JM44" s="4"/>
      <c r="JN44" s="10"/>
      <c r="JO44" s="10"/>
      <c r="JP44" s="4"/>
      <c r="JQ44" s="4"/>
      <c r="JR44" s="4"/>
      <c r="JS44" s="4"/>
      <c r="JT44" s="4"/>
      <c r="JU44" s="10"/>
      <c r="JV44" s="4"/>
      <c r="JW44" s="4"/>
      <c r="JX44" s="4"/>
      <c r="JY44" s="4"/>
      <c r="JZ44" s="4"/>
      <c r="KA44" s="4">
        <v>12568</v>
      </c>
      <c r="KB44" s="4"/>
      <c r="KC44" s="4"/>
      <c r="KD44" s="10">
        <v>14059</v>
      </c>
      <c r="KE44" s="10">
        <v>20678</v>
      </c>
      <c r="KF44" s="10">
        <v>11613</v>
      </c>
      <c r="KG44" s="4"/>
      <c r="KH44" s="10"/>
      <c r="KI44" s="10"/>
      <c r="KJ44" s="10">
        <v>14920</v>
      </c>
      <c r="KK44" s="10">
        <v>14994</v>
      </c>
      <c r="KL44" s="4">
        <v>14914</v>
      </c>
      <c r="KM44" s="10"/>
      <c r="KN44" s="4"/>
      <c r="KO44" s="4"/>
      <c r="KP44" s="4">
        <v>18929</v>
      </c>
      <c r="KQ44" s="4"/>
      <c r="KR44" s="10"/>
      <c r="KS44" s="4">
        <v>17865</v>
      </c>
      <c r="KT44" s="4"/>
      <c r="KU44" s="4"/>
      <c r="KV44" s="4"/>
      <c r="KW44" s="4"/>
      <c r="KX44" s="18"/>
      <c r="KY44" s="31"/>
      <c r="KZ44" s="77">
        <f>IF($A44="","",(LA44-LA43)/LA43)</f>
        <v>-8.0178870681410733E-2</v>
      </c>
      <c r="LA44" s="8">
        <f t="shared" si="30"/>
        <v>314508</v>
      </c>
      <c r="LB44" s="2"/>
      <c r="LC44" s="43"/>
      <c r="MO44" s="172"/>
      <c r="NO44" s="77"/>
      <c r="NP44" s="63"/>
      <c r="NQ44"/>
      <c r="NR44" s="77" t="e">
        <f>IF($A44="","",(NS44-NS43)/NS43)</f>
        <v>#DIV/0!</v>
      </c>
      <c r="NS44" s="8">
        <f t="shared" si="4"/>
        <v>0</v>
      </c>
      <c r="NT44" s="2"/>
      <c r="NU44" s="3" t="s">
        <v>295</v>
      </c>
      <c r="NV44" s="4"/>
      <c r="NW44" s="4"/>
      <c r="NX44" s="4"/>
      <c r="NY44" s="4"/>
      <c r="NZ44" s="4"/>
      <c r="OA44" s="4"/>
      <c r="OB44" s="4"/>
      <c r="OC44" s="4">
        <v>22305</v>
      </c>
      <c r="OD44" s="4"/>
      <c r="OE44" s="77">
        <f>IF($A44="","",(OF44-OF43)/OF43)</f>
        <v>-5.9812847749114821E-2</v>
      </c>
      <c r="OF44" s="8">
        <f t="shared" si="5"/>
        <v>22305</v>
      </c>
      <c r="OG44" s="2"/>
      <c r="OJ44" s="40"/>
      <c r="OK44" s="40"/>
      <c r="OL44" s="40"/>
      <c r="OM44" s="40"/>
      <c r="ON44" s="40"/>
      <c r="OO44" s="40"/>
      <c r="OQ44" s="40"/>
      <c r="OR44" s="77"/>
      <c r="OS44" s="35"/>
      <c r="OT44" s="37"/>
      <c r="OU44" s="126">
        <f t="shared" si="31"/>
        <v>743915</v>
      </c>
      <c r="OV44" s="71">
        <f t="shared" si="9"/>
        <v>-8.0009067694338694E-3</v>
      </c>
      <c r="OW44" s="139">
        <f>IF(A44="","",SUM(Z$17:Z44))</f>
        <v>20000</v>
      </c>
      <c r="OX44" s="139">
        <f t="shared" si="32"/>
        <v>763915</v>
      </c>
      <c r="OY44" s="132">
        <f t="shared" si="33"/>
        <v>7.0525190270589927E-2</v>
      </c>
      <c r="OZ44" s="140">
        <f t="shared" si="34"/>
        <v>633518</v>
      </c>
      <c r="PA44" s="84">
        <f t="shared" si="15"/>
        <v>-9.2515001367992969E-2</v>
      </c>
      <c r="PB44" s="130">
        <f>IF(A44="","",SUM(HB$17:HB44)+SUM(KY$17:KY44))</f>
        <v>63245.98</v>
      </c>
      <c r="PC44" s="131">
        <f t="shared" si="35"/>
        <v>696763.98</v>
      </c>
      <c r="PD44" s="132">
        <f t="shared" si="36"/>
        <v>5.4870291784818323E-2</v>
      </c>
      <c r="PE44" s="133"/>
      <c r="PF44" s="134"/>
      <c r="PG44" s="133"/>
      <c r="PH44" s="134"/>
      <c r="PI44" s="135">
        <f t="shared" si="37"/>
        <v>1377433</v>
      </c>
      <c r="PJ44" s="136">
        <f>IF(PI44="","",(PI44-PI43)/PI43)</f>
        <v>-4.8745941003495816E-2</v>
      </c>
      <c r="PK44" s="123"/>
      <c r="PL44" s="137">
        <f t="shared" si="38"/>
        <v>83245.98000000001</v>
      </c>
      <c r="PM44" s="9">
        <f t="shared" si="39"/>
        <v>1460678.98</v>
      </c>
      <c r="PN44" s="138">
        <f t="shared" si="40"/>
        <v>6.300003638718879E-2</v>
      </c>
      <c r="PO44" s="86">
        <f>IF(PI44="","",MAX(PI$15:PI44))</f>
        <v>1516789</v>
      </c>
      <c r="PP44" s="113">
        <f t="shared" si="11"/>
        <v>-0.10117080104803645</v>
      </c>
      <c r="PQ44" s="41"/>
      <c r="PR44" s="302"/>
    </row>
    <row r="45" spans="1:434" s="1" customFormat="1" ht="15" customHeight="1" x14ac:dyDescent="0.45">
      <c r="A45" s="18">
        <v>43497</v>
      </c>
      <c r="B45" s="7" t="s">
        <v>295</v>
      </c>
      <c r="C45" s="4">
        <v>7071</v>
      </c>
      <c r="D45" s="10"/>
      <c r="E45" s="10"/>
      <c r="F45" s="10"/>
      <c r="G45" s="4"/>
      <c r="H45" s="4"/>
      <c r="I45" s="4"/>
      <c r="J45" s="4"/>
      <c r="K45" s="4"/>
      <c r="L45" s="4"/>
      <c r="M45" s="4"/>
      <c r="N45" s="4"/>
      <c r="O45" s="10"/>
      <c r="P45" s="4"/>
      <c r="Q45" s="4"/>
      <c r="R45" s="4">
        <v>26069</v>
      </c>
      <c r="S45" s="4">
        <v>21929</v>
      </c>
      <c r="T45" s="4"/>
      <c r="U45" s="10">
        <v>51520</v>
      </c>
      <c r="V45" s="10"/>
      <c r="W45" s="10"/>
      <c r="X45" s="4"/>
      <c r="Y45" s="18">
        <f t="shared" si="41"/>
        <v>43476</v>
      </c>
      <c r="Z45" s="4"/>
      <c r="AA45" s="77">
        <f t="shared" si="21"/>
        <v>4.4253076259894976E-2</v>
      </c>
      <c r="AB45" s="8">
        <f t="shared" si="27"/>
        <v>106589</v>
      </c>
      <c r="AC45" s="2"/>
      <c r="AD45" s="7" t="s">
        <v>295</v>
      </c>
      <c r="AE45" s="4">
        <v>67896</v>
      </c>
      <c r="AF45" s="4">
        <v>365936</v>
      </c>
      <c r="AG45" s="4"/>
      <c r="AH45" s="4"/>
      <c r="AJ45" s="4"/>
      <c r="AK45" s="4"/>
      <c r="AL45" s="4"/>
      <c r="AM45" s="4"/>
      <c r="AO45" s="4"/>
      <c r="AP45" s="10"/>
      <c r="AQ45" s="4"/>
      <c r="AR45" s="4"/>
      <c r="AS45" s="4"/>
      <c r="AT45" s="4"/>
      <c r="AU45" s="4"/>
      <c r="AW45" s="4"/>
      <c r="AX45" s="4">
        <v>11731</v>
      </c>
      <c r="AY45" s="4"/>
      <c r="AZ45" s="4"/>
      <c r="BA45" s="4"/>
      <c r="BB45" s="4"/>
      <c r="BC45" s="4"/>
      <c r="BD45" s="4"/>
      <c r="BE45" s="4"/>
      <c r="BF45" s="4"/>
      <c r="BH45" s="4"/>
      <c r="BI45" s="4"/>
      <c r="BJ45" s="4"/>
      <c r="BK45" s="4"/>
      <c r="BL45" s="4"/>
      <c r="BM45" s="4">
        <v>18315</v>
      </c>
      <c r="BN45" s="4">
        <v>19173</v>
      </c>
      <c r="BO45" s="4"/>
      <c r="BP45" s="4"/>
      <c r="BQ45" s="4"/>
      <c r="BS45" s="10"/>
      <c r="BT45" s="4"/>
      <c r="BU45" s="4"/>
      <c r="BV45" s="4"/>
      <c r="BW45" s="4"/>
      <c r="CA45" s="4">
        <v>96484</v>
      </c>
      <c r="CB45" s="4"/>
      <c r="CC45" s="4">
        <v>18234</v>
      </c>
      <c r="CD45" s="4"/>
      <c r="CE45" s="4"/>
      <c r="CF45" s="4"/>
      <c r="CG45" s="4"/>
      <c r="CH45" s="4"/>
      <c r="CI45" s="4"/>
      <c r="CJ45" s="10"/>
      <c r="CK45" s="4"/>
      <c r="CL45" s="10"/>
      <c r="CN45" s="4"/>
      <c r="CO45" s="10"/>
      <c r="CP45" s="4"/>
      <c r="CQ45" s="4">
        <v>16682</v>
      </c>
      <c r="CR45" s="10"/>
      <c r="CS45" s="4"/>
      <c r="CT45" s="4"/>
      <c r="CU45" s="4">
        <v>19233</v>
      </c>
      <c r="CV45" s="4"/>
      <c r="CW45" s="4"/>
      <c r="CX45" s="4"/>
      <c r="CY45" s="77">
        <f t="shared" si="12"/>
        <v>2.2833143406861243E-2</v>
      </c>
      <c r="CZ45" s="8">
        <f t="shared" si="28"/>
        <v>633684</v>
      </c>
      <c r="DA45" s="2"/>
      <c r="DH45" s="4"/>
      <c r="DJ45" s="4"/>
      <c r="DX45" s="2"/>
      <c r="DY45" s="32"/>
      <c r="DZ45" s="4">
        <v>5</v>
      </c>
      <c r="EA45" s="32"/>
      <c r="EB45" s="32"/>
      <c r="EC45" s="32"/>
      <c r="ED45" s="32"/>
      <c r="EE45" s="4"/>
      <c r="EF45" s="4"/>
      <c r="EG45" s="32"/>
      <c r="EH45" s="32"/>
      <c r="EI45" s="32"/>
      <c r="EJ45" s="32"/>
      <c r="EK45" s="5"/>
      <c r="EO45" s="2"/>
      <c r="EQ45" s="468" t="s">
        <v>1</v>
      </c>
      <c r="ER45"/>
      <c r="ES45" s="6" t="s">
        <v>315</v>
      </c>
      <c r="ET45" s="10"/>
      <c r="EU45" s="10"/>
      <c r="EV45" s="10"/>
      <c r="EW45" s="10"/>
      <c r="EX45" s="4">
        <f>5158+241</f>
        <v>5399</v>
      </c>
      <c r="EY45" s="4">
        <v>14147</v>
      </c>
      <c r="EZ45" s="4">
        <v>19069</v>
      </c>
      <c r="FA45" s="4"/>
      <c r="FB45" s="4"/>
      <c r="FC45" s="4"/>
      <c r="FD45" s="4"/>
      <c r="FE45" s="4"/>
      <c r="FF45" s="4"/>
      <c r="FG45" s="4"/>
      <c r="FH45" s="10">
        <v>18916</v>
      </c>
      <c r="FI45" s="10">
        <v>17420</v>
      </c>
      <c r="FJ45" s="10">
        <v>6031</v>
      </c>
      <c r="FK45" s="10"/>
      <c r="FL45" s="10"/>
      <c r="FM45" s="10">
        <v>20247</v>
      </c>
      <c r="FN45" s="4"/>
      <c r="FO45" s="4"/>
      <c r="FP45" s="10">
        <v>14206</v>
      </c>
      <c r="FQ45" s="4"/>
      <c r="FR45" s="4"/>
      <c r="FS45" s="10">
        <v>18978</v>
      </c>
      <c r="FT45" s="4"/>
      <c r="FU45" s="4"/>
      <c r="FV45" s="4"/>
      <c r="FW45" s="4"/>
      <c r="FX45" s="4"/>
      <c r="FY45" s="4"/>
      <c r="FZ45" s="10">
        <v>21636</v>
      </c>
      <c r="GA45" s="10">
        <v>22169</v>
      </c>
      <c r="GB45" s="10"/>
      <c r="GC45" s="10"/>
      <c r="GD45" s="4"/>
      <c r="GE45" s="4"/>
      <c r="GF45" s="4">
        <v>17581</v>
      </c>
      <c r="GG45" s="4"/>
      <c r="GH45" s="4"/>
      <c r="GI45" s="4"/>
      <c r="GJ45" s="4">
        <v>17262</v>
      </c>
      <c r="GK45" s="4"/>
      <c r="GL45" s="4"/>
      <c r="GM45" s="4">
        <v>20442</v>
      </c>
      <c r="GN45" s="10"/>
      <c r="GO45" s="10">
        <v>22348</v>
      </c>
      <c r="GP45" s="4"/>
      <c r="GQ45" s="10"/>
      <c r="GR45" s="4">
        <v>22269</v>
      </c>
      <c r="GS45" s="10"/>
      <c r="GT45" s="4">
        <v>21929</v>
      </c>
      <c r="GU45" s="10"/>
      <c r="GV45" s="4"/>
      <c r="GW45" s="10">
        <v>17757</v>
      </c>
      <c r="GX45" s="10">
        <v>22024</v>
      </c>
      <c r="GY45" s="10"/>
      <c r="GZ45" s="10"/>
      <c r="HA45" s="18">
        <v>43476</v>
      </c>
      <c r="HB45" s="4">
        <v>783.18</v>
      </c>
      <c r="HC45" s="77">
        <f t="shared" si="22"/>
        <v>6.5264411773925585E-2</v>
      </c>
      <c r="HD45" s="8">
        <f t="shared" si="29"/>
        <v>339830</v>
      </c>
      <c r="HE45" s="2"/>
      <c r="HF45" s="3" t="s">
        <v>319</v>
      </c>
      <c r="HG45" s="4">
        <v>11572</v>
      </c>
      <c r="HH45" s="4"/>
      <c r="HI45" s="4"/>
      <c r="HJ45" s="4"/>
      <c r="HK45" s="4"/>
      <c r="HL45" s="4"/>
      <c r="HM45" s="4"/>
      <c r="HN45" s="4"/>
      <c r="HO45" s="4"/>
      <c r="HP45" s="4">
        <v>17400</v>
      </c>
      <c r="HQ45" s="4"/>
      <c r="HR45" s="4"/>
      <c r="HS45" s="4"/>
      <c r="HT45" s="10">
        <v>13727</v>
      </c>
      <c r="HU45" s="10"/>
      <c r="HV45" s="4"/>
      <c r="HW45" s="4"/>
      <c r="HX45" s="4"/>
      <c r="HY45" s="4"/>
      <c r="HZ45" s="4"/>
      <c r="IA45" s="4"/>
      <c r="IB45" s="4"/>
      <c r="IC45" s="4">
        <v>15286</v>
      </c>
      <c r="ID45" s="10">
        <v>19516</v>
      </c>
      <c r="IE45" s="4"/>
      <c r="IF45" s="10"/>
      <c r="IG45" s="4"/>
      <c r="IH45" s="4"/>
      <c r="II45" s="4"/>
      <c r="IJ45" s="4"/>
      <c r="IK45" s="4"/>
      <c r="IL45" s="4"/>
      <c r="IM45" s="4"/>
      <c r="IN45" s="4"/>
      <c r="IO45" s="4"/>
      <c r="IP45" s="4"/>
      <c r="IQ45" s="4"/>
      <c r="IR45" s="4">
        <v>18315</v>
      </c>
      <c r="IS45" s="4">
        <v>19173</v>
      </c>
      <c r="IT45" s="10">
        <v>23560</v>
      </c>
      <c r="IU45" s="4"/>
      <c r="IV45" s="4"/>
      <c r="IW45" s="4"/>
      <c r="IX45" s="10">
        <v>20700</v>
      </c>
      <c r="IY45" s="4"/>
      <c r="IZ45" s="4"/>
      <c r="JA45" s="4"/>
      <c r="JB45" s="4"/>
      <c r="JC45" s="4"/>
      <c r="JD45" s="4"/>
      <c r="JE45" s="4"/>
      <c r="JF45" s="10"/>
      <c r="JG45" s="10"/>
      <c r="JH45" s="10"/>
      <c r="JI45" s="4"/>
      <c r="JJ45" s="4"/>
      <c r="JK45" s="4"/>
      <c r="JL45" s="4">
        <v>22329</v>
      </c>
      <c r="JM45" s="4"/>
      <c r="JN45" s="10"/>
      <c r="JO45" s="10"/>
      <c r="JP45" s="4"/>
      <c r="JQ45" s="4"/>
      <c r="JR45" s="4"/>
      <c r="JS45" s="4"/>
      <c r="JT45" s="4"/>
      <c r="JU45" s="10"/>
      <c r="JV45" s="4"/>
      <c r="JW45" s="4"/>
      <c r="JX45" s="4"/>
      <c r="JY45" s="4"/>
      <c r="JZ45" s="4"/>
      <c r="KA45" s="4">
        <v>14069</v>
      </c>
      <c r="KB45" s="4"/>
      <c r="KC45" s="4"/>
      <c r="KD45" s="10">
        <v>15110</v>
      </c>
      <c r="KE45" s="10">
        <v>21802</v>
      </c>
      <c r="KF45" s="10">
        <v>12973</v>
      </c>
      <c r="KG45" s="4"/>
      <c r="KH45" s="10"/>
      <c r="KI45" s="10"/>
      <c r="KJ45" s="10">
        <v>16613</v>
      </c>
      <c r="KK45" s="10">
        <v>17564</v>
      </c>
      <c r="KL45" s="4">
        <v>16682</v>
      </c>
      <c r="KM45" s="10"/>
      <c r="KN45" s="4"/>
      <c r="KO45" s="4"/>
      <c r="KP45" s="4">
        <v>19233</v>
      </c>
      <c r="KQ45" s="4"/>
      <c r="KR45" s="10"/>
      <c r="KS45" s="4">
        <v>19455</v>
      </c>
      <c r="KT45" s="4"/>
      <c r="KU45" s="4"/>
      <c r="KV45" s="4"/>
      <c r="KW45" s="4"/>
      <c r="KX45" s="18">
        <v>43476</v>
      </c>
      <c r="KY45" s="31">
        <v>786.27</v>
      </c>
      <c r="KZ45" s="77">
        <f t="shared" si="23"/>
        <v>6.5406921286580946E-2</v>
      </c>
      <c r="LA45" s="8">
        <f t="shared" si="30"/>
        <v>335079</v>
      </c>
      <c r="LB45" s="2"/>
      <c r="LC45" s="43"/>
      <c r="MO45" s="172"/>
      <c r="NO45" s="77"/>
      <c r="NP45" s="63"/>
      <c r="NQ45"/>
      <c r="NR45" s="77" t="e">
        <f t="shared" si="24"/>
        <v>#DIV/0!</v>
      </c>
      <c r="NS45" s="8">
        <f t="shared" si="4"/>
        <v>0</v>
      </c>
      <c r="NT45" s="2"/>
      <c r="NU45" s="3" t="s">
        <v>295</v>
      </c>
      <c r="NV45" s="4">
        <v>5</v>
      </c>
      <c r="NW45" s="4"/>
      <c r="NX45" s="4"/>
      <c r="NY45" s="4"/>
      <c r="NZ45" s="4"/>
      <c r="OA45" s="4"/>
      <c r="OB45" s="4"/>
      <c r="OC45" s="4">
        <v>24240</v>
      </c>
      <c r="OD45" s="4"/>
      <c r="OE45" s="77">
        <f t="shared" si="25"/>
        <v>8.6976014346559063E-2</v>
      </c>
      <c r="OF45" s="8">
        <f t="shared" si="5"/>
        <v>24245</v>
      </c>
      <c r="OG45" s="2"/>
      <c r="OJ45" s="40"/>
      <c r="OK45" s="40"/>
      <c r="OL45" s="40"/>
      <c r="OM45" s="40"/>
      <c r="ON45" s="40"/>
      <c r="OO45" s="40"/>
      <c r="OQ45" s="40"/>
      <c r="OR45" s="77"/>
      <c r="OS45" s="35"/>
      <c r="OT45" s="37"/>
      <c r="OU45" s="126">
        <f t="shared" si="31"/>
        <v>764518</v>
      </c>
      <c r="OV45" s="71">
        <f t="shared" si="9"/>
        <v>2.7695368422467621E-2</v>
      </c>
      <c r="OW45" s="139">
        <f>IF(A45="","",SUM(Z$17:Z45))</f>
        <v>20000</v>
      </c>
      <c r="OX45" s="139">
        <f t="shared" si="32"/>
        <v>784518</v>
      </c>
      <c r="OY45" s="132">
        <f t="shared" si="33"/>
        <v>9.9397552372584214E-2</v>
      </c>
      <c r="OZ45" s="140">
        <f t="shared" si="34"/>
        <v>674909</v>
      </c>
      <c r="PA45" s="84">
        <f t="shared" si="15"/>
        <v>6.5335160169087539E-2</v>
      </c>
      <c r="PB45" s="130">
        <f>IF(A45="","",SUM(HB$17:HB45)+SUM(KY$17:KY45))</f>
        <v>64815.430000000008</v>
      </c>
      <c r="PC45" s="131">
        <f t="shared" si="35"/>
        <v>739724.43</v>
      </c>
      <c r="PD45" s="132">
        <f t="shared" si="36"/>
        <v>0.11991054031590222</v>
      </c>
      <c r="PE45" s="133"/>
      <c r="PF45" s="134"/>
      <c r="PG45" s="133"/>
      <c r="PH45" s="134"/>
      <c r="PI45" s="135">
        <f t="shared" si="37"/>
        <v>1439427</v>
      </c>
      <c r="PJ45" s="136">
        <f t="shared" si="10"/>
        <v>4.5006907777002586E-2</v>
      </c>
      <c r="PK45" s="123"/>
      <c r="PL45" s="137">
        <f t="shared" si="38"/>
        <v>84815.430000000008</v>
      </c>
      <c r="PM45" s="9">
        <f t="shared" si="39"/>
        <v>1524242.4300000002</v>
      </c>
      <c r="PN45" s="138">
        <f t="shared" si="40"/>
        <v>0.1092579415039554</v>
      </c>
      <c r="PO45" s="86">
        <f>IF(PI45="","",MAX(PI$15:PI45))</f>
        <v>1516789</v>
      </c>
      <c r="PP45" s="113">
        <f t="shared" si="11"/>
        <v>-5.3744997141223556E-2</v>
      </c>
      <c r="PQ45" s="41"/>
      <c r="PR45" s="302"/>
    </row>
    <row r="46" spans="1:434" s="1" customFormat="1" ht="15" customHeight="1" x14ac:dyDescent="0.45">
      <c r="A46" s="18">
        <v>43526</v>
      </c>
      <c r="B46" s="7" t="s">
        <v>295</v>
      </c>
      <c r="C46" s="4">
        <v>7215</v>
      </c>
      <c r="D46" s="10"/>
      <c r="E46" s="10"/>
      <c r="F46" s="10"/>
      <c r="G46" s="4"/>
      <c r="H46" s="4"/>
      <c r="I46" s="4"/>
      <c r="J46" s="4"/>
      <c r="K46" s="4"/>
      <c r="L46" s="4"/>
      <c r="M46" s="4"/>
      <c r="N46" s="4"/>
      <c r="O46" s="10"/>
      <c r="P46" s="4"/>
      <c r="Q46" s="4"/>
      <c r="R46" s="4">
        <v>26363</v>
      </c>
      <c r="S46" s="4">
        <v>22578</v>
      </c>
      <c r="T46" s="4"/>
      <c r="U46" s="10">
        <v>51611</v>
      </c>
      <c r="V46" s="10"/>
      <c r="W46" s="10"/>
      <c r="X46" s="4"/>
      <c r="Y46" s="18" t="str">
        <f t="shared" si="41"/>
        <v>2/1/19 &amp; 
3/1/2019</v>
      </c>
      <c r="Z46" s="4"/>
      <c r="AA46" s="77">
        <f t="shared" si="21"/>
        <v>1.1051797089755979E-2</v>
      </c>
      <c r="AB46" s="8">
        <f t="shared" si="27"/>
        <v>107767</v>
      </c>
      <c r="AC46" s="2"/>
      <c r="AD46" s="7" t="s">
        <v>295</v>
      </c>
      <c r="AE46" s="4">
        <v>69145</v>
      </c>
      <c r="AF46" s="4">
        <v>366008</v>
      </c>
      <c r="AG46" s="4"/>
      <c r="AH46" s="4"/>
      <c r="AJ46" s="4"/>
      <c r="AK46" s="4"/>
      <c r="AL46" s="4"/>
      <c r="AM46" s="4"/>
      <c r="AO46" s="4"/>
      <c r="AP46" s="10"/>
      <c r="AQ46" s="4"/>
      <c r="AR46" s="4"/>
      <c r="AS46" s="4"/>
      <c r="AT46" s="4"/>
      <c r="AU46" s="4"/>
      <c r="AW46" s="4"/>
      <c r="AX46" s="4">
        <v>11752</v>
      </c>
      <c r="AY46" s="4"/>
      <c r="AZ46" s="4"/>
      <c r="BA46" s="4"/>
      <c r="BB46" s="4"/>
      <c r="BC46" s="4"/>
      <c r="BD46" s="4"/>
      <c r="BE46" s="4"/>
      <c r="BF46" s="4"/>
      <c r="BH46" s="4"/>
      <c r="BI46" s="4"/>
      <c r="BJ46" s="4"/>
      <c r="BK46" s="4"/>
      <c r="BL46" s="4"/>
      <c r="BM46" s="4">
        <v>19263</v>
      </c>
      <c r="BN46" s="4">
        <v>20120</v>
      </c>
      <c r="BO46" s="4"/>
      <c r="BP46" s="4"/>
      <c r="BQ46" s="4"/>
      <c r="BS46" s="10"/>
      <c r="BT46" s="4"/>
      <c r="BU46" s="4"/>
      <c r="BV46" s="4"/>
      <c r="BW46" s="4"/>
      <c r="CA46" s="4">
        <v>97237</v>
      </c>
      <c r="CB46" s="4"/>
      <c r="CC46" s="4">
        <v>18330</v>
      </c>
      <c r="CD46" s="4"/>
      <c r="CE46" s="4"/>
      <c r="CF46" s="4"/>
      <c r="CG46" s="4"/>
      <c r="CH46" s="4"/>
      <c r="CI46" s="4"/>
      <c r="CJ46" s="10"/>
      <c r="CK46" s="4"/>
      <c r="CL46" s="10"/>
      <c r="CN46" s="4"/>
      <c r="CO46" s="10"/>
      <c r="CP46" s="4"/>
      <c r="CQ46" s="4">
        <v>16746</v>
      </c>
      <c r="CR46" s="10"/>
      <c r="CS46" s="4"/>
      <c r="CT46" s="4"/>
      <c r="CU46" s="4">
        <v>19286</v>
      </c>
      <c r="CV46" s="4"/>
      <c r="CW46" s="4"/>
      <c r="CX46" s="4"/>
      <c r="CY46" s="77">
        <f t="shared" si="12"/>
        <v>6.6326433995493022E-3</v>
      </c>
      <c r="CZ46" s="8">
        <f t="shared" si="28"/>
        <v>637887</v>
      </c>
      <c r="DA46" s="2"/>
      <c r="DH46" s="4"/>
      <c r="DJ46" s="4"/>
      <c r="DX46" s="2"/>
      <c r="DY46" s="32"/>
      <c r="DZ46" s="4">
        <v>5</v>
      </c>
      <c r="EA46" s="32"/>
      <c r="EB46" s="32"/>
      <c r="EC46" s="32"/>
      <c r="ED46" s="32"/>
      <c r="EE46" s="4"/>
      <c r="EF46" s="4"/>
      <c r="EG46" s="32"/>
      <c r="EH46" s="32"/>
      <c r="EI46" s="32"/>
      <c r="EJ46" s="32"/>
      <c r="EK46" s="5"/>
      <c r="EO46" s="2"/>
      <c r="EQ46" s="468" t="s">
        <v>1</v>
      </c>
      <c r="ER46"/>
      <c r="ES46" s="6" t="s">
        <v>325</v>
      </c>
      <c r="ET46" s="10"/>
      <c r="EU46" s="10"/>
      <c r="EV46" s="10"/>
      <c r="EW46" s="10"/>
      <c r="EX46" s="4">
        <f>2598+3687</f>
        <v>6285</v>
      </c>
      <c r="EY46" s="4">
        <v>14872</v>
      </c>
      <c r="EZ46" s="4">
        <v>0</v>
      </c>
      <c r="FA46" s="4"/>
      <c r="FB46" s="4"/>
      <c r="FC46" s="4"/>
      <c r="FD46" s="4"/>
      <c r="FE46" s="4"/>
      <c r="FF46" s="4"/>
      <c r="FG46" s="4"/>
      <c r="FH46" s="10">
        <v>20564</v>
      </c>
      <c r="FI46" s="10">
        <v>18033</v>
      </c>
      <c r="FJ46" s="10">
        <v>5348</v>
      </c>
      <c r="FK46" s="10">
        <v>18698</v>
      </c>
      <c r="FL46" s="10"/>
      <c r="FM46" s="10">
        <v>21552</v>
      </c>
      <c r="FN46" s="4"/>
      <c r="FO46" s="4"/>
      <c r="FP46" s="10">
        <v>14624</v>
      </c>
      <c r="FQ46" s="4"/>
      <c r="FR46" s="4"/>
      <c r="FS46" s="10">
        <v>19397</v>
      </c>
      <c r="FT46" s="4"/>
      <c r="FU46" s="4"/>
      <c r="FV46" s="4"/>
      <c r="FW46" s="4"/>
      <c r="FX46" s="4"/>
      <c r="FY46" s="4"/>
      <c r="FZ46" s="10">
        <v>19752</v>
      </c>
      <c r="GA46" s="10">
        <v>23861</v>
      </c>
      <c r="GB46" s="10"/>
      <c r="GC46" s="10"/>
      <c r="GD46" s="4"/>
      <c r="GE46" s="4"/>
      <c r="GF46" s="4">
        <v>18379</v>
      </c>
      <c r="GG46" s="4"/>
      <c r="GH46" s="4"/>
      <c r="GI46" s="4"/>
      <c r="GJ46" s="4">
        <v>19690</v>
      </c>
      <c r="GK46" s="4"/>
      <c r="GL46" s="4"/>
      <c r="GM46" s="4">
        <v>21255</v>
      </c>
      <c r="GN46" s="10"/>
      <c r="GO46" s="10">
        <v>23653</v>
      </c>
      <c r="GP46" s="4"/>
      <c r="GQ46" s="10"/>
      <c r="GR46" s="4">
        <v>23442</v>
      </c>
      <c r="GS46" s="10"/>
      <c r="GT46" s="4">
        <v>22578</v>
      </c>
      <c r="GU46" s="10"/>
      <c r="GV46" s="4"/>
      <c r="GW46" s="10">
        <v>17710</v>
      </c>
      <c r="GX46" s="10">
        <v>22784</v>
      </c>
      <c r="GY46" s="10"/>
      <c r="GZ46" s="10"/>
      <c r="HA46" s="28" t="s">
        <v>326</v>
      </c>
      <c r="HB46" s="4">
        <v>8000</v>
      </c>
      <c r="HC46" s="77">
        <f t="shared" si="22"/>
        <v>3.721566665685784E-2</v>
      </c>
      <c r="HD46" s="8">
        <f t="shared" si="29"/>
        <v>352477</v>
      </c>
      <c r="HE46" s="2"/>
      <c r="HF46" s="3" t="s">
        <v>295</v>
      </c>
      <c r="HG46" s="4">
        <v>11748</v>
      </c>
      <c r="HH46" s="4"/>
      <c r="HI46" s="4"/>
      <c r="HJ46" s="4"/>
      <c r="HK46" s="4"/>
      <c r="HL46" s="4"/>
      <c r="HM46" s="4"/>
      <c r="HN46" s="4"/>
      <c r="HO46" s="4"/>
      <c r="HP46" s="4">
        <v>17420</v>
      </c>
      <c r="HQ46" s="4"/>
      <c r="HR46" s="4"/>
      <c r="HS46" s="4"/>
      <c r="HT46" s="10">
        <v>13988</v>
      </c>
      <c r="HU46" s="10"/>
      <c r="HV46" s="4"/>
      <c r="HW46" s="4"/>
      <c r="HX46" s="4"/>
      <c r="HY46" s="4"/>
      <c r="HZ46" s="4"/>
      <c r="IA46" s="4"/>
      <c r="IB46" s="4"/>
      <c r="IC46" s="4">
        <v>15122</v>
      </c>
      <c r="ID46" s="10">
        <v>19952</v>
      </c>
      <c r="IE46" s="4"/>
      <c r="IF46" s="10"/>
      <c r="IG46" s="4"/>
      <c r="IH46" s="4"/>
      <c r="II46" s="4"/>
      <c r="IJ46" s="4"/>
      <c r="IK46" s="4"/>
      <c r="IL46" s="4"/>
      <c r="IM46" s="4"/>
      <c r="IN46" s="4"/>
      <c r="IO46" s="4"/>
      <c r="IP46" s="4"/>
      <c r="IQ46" s="4"/>
      <c r="IR46" s="4">
        <v>19263</v>
      </c>
      <c r="IS46" s="4">
        <v>20120</v>
      </c>
      <c r="IT46" s="10">
        <v>26650</v>
      </c>
      <c r="IU46" s="4"/>
      <c r="IV46" s="4"/>
      <c r="IW46" s="4"/>
      <c r="IX46" s="10">
        <v>20886</v>
      </c>
      <c r="IY46" s="4"/>
      <c r="IZ46" s="4"/>
      <c r="JA46" s="4"/>
      <c r="JB46" s="4"/>
      <c r="JC46" s="4"/>
      <c r="JD46" s="4"/>
      <c r="JE46" s="4"/>
      <c r="JF46" s="10"/>
      <c r="JG46" s="10"/>
      <c r="JH46" s="10"/>
      <c r="JI46" s="4"/>
      <c r="JJ46" s="4"/>
      <c r="JK46" s="4"/>
      <c r="JL46" s="4">
        <v>24495</v>
      </c>
      <c r="JM46" s="4"/>
      <c r="JN46" s="10"/>
      <c r="JO46" s="10"/>
      <c r="JP46" s="4"/>
      <c r="JQ46" s="4"/>
      <c r="JR46" s="4"/>
      <c r="JS46" s="4"/>
      <c r="JT46" s="4"/>
      <c r="JU46" s="10"/>
      <c r="JV46" s="4"/>
      <c r="JW46" s="4"/>
      <c r="JX46" s="4"/>
      <c r="JY46" s="4"/>
      <c r="JZ46" s="4"/>
      <c r="KA46" s="4">
        <v>14223</v>
      </c>
      <c r="KB46" s="4"/>
      <c r="KC46" s="4"/>
      <c r="KD46" s="10">
        <v>15647</v>
      </c>
      <c r="KE46" s="10">
        <v>22221</v>
      </c>
      <c r="KF46" s="10">
        <v>13496</v>
      </c>
      <c r="KG46" s="4"/>
      <c r="KH46" s="10"/>
      <c r="KI46" s="10"/>
      <c r="KJ46" s="10">
        <v>17698</v>
      </c>
      <c r="KK46" s="10">
        <v>16578</v>
      </c>
      <c r="KL46" s="4">
        <v>16746</v>
      </c>
      <c r="KM46" s="10"/>
      <c r="KN46" s="4"/>
      <c r="KO46" s="4"/>
      <c r="KP46" s="4">
        <v>19286</v>
      </c>
      <c r="KQ46" s="4"/>
      <c r="KR46" s="10"/>
      <c r="KS46" s="4">
        <v>20018</v>
      </c>
      <c r="KT46" s="4"/>
      <c r="KU46" s="4"/>
      <c r="KV46" s="4"/>
      <c r="KW46" s="4"/>
      <c r="KX46" s="18"/>
      <c r="KY46" s="31"/>
      <c r="KZ46" s="77">
        <f t="shared" si="23"/>
        <v>3.1270237764825605E-2</v>
      </c>
      <c r="LA46" s="8">
        <f t="shared" si="30"/>
        <v>345557</v>
      </c>
      <c r="LB46" s="2"/>
      <c r="LC46" s="43"/>
      <c r="MO46" s="172"/>
      <c r="NO46" s="77"/>
      <c r="NP46" s="63"/>
      <c r="NQ46"/>
      <c r="NR46" s="77" t="e">
        <f t="shared" si="24"/>
        <v>#DIV/0!</v>
      </c>
      <c r="NS46" s="8">
        <f t="shared" si="4"/>
        <v>0</v>
      </c>
      <c r="NT46" s="2"/>
      <c r="NU46" s="3" t="s">
        <v>295</v>
      </c>
      <c r="NV46" s="4">
        <v>5</v>
      </c>
      <c r="NW46" s="4"/>
      <c r="NX46" s="4"/>
      <c r="NY46" s="4"/>
      <c r="NZ46" s="4"/>
      <c r="OA46" s="4"/>
      <c r="OB46" s="4"/>
      <c r="OC46" s="4">
        <v>24992</v>
      </c>
      <c r="OD46" s="4"/>
      <c r="OE46" s="77">
        <f t="shared" si="25"/>
        <v>3.1016704475149516E-2</v>
      </c>
      <c r="OF46" s="8">
        <f t="shared" si="5"/>
        <v>24997</v>
      </c>
      <c r="OG46" s="2"/>
      <c r="OJ46" s="40"/>
      <c r="OK46" s="40"/>
      <c r="OL46" s="40"/>
      <c r="OM46" s="40"/>
      <c r="ON46" s="40"/>
      <c r="OO46" s="40"/>
      <c r="OQ46" s="40"/>
      <c r="OR46" s="77"/>
      <c r="OS46" s="35"/>
      <c r="OT46" s="37"/>
      <c r="OU46" s="126">
        <f t="shared" si="31"/>
        <v>770651</v>
      </c>
      <c r="OV46" s="71">
        <f t="shared" si="9"/>
        <v>8.0220478785326173E-3</v>
      </c>
      <c r="OW46" s="139">
        <f>IF(A46="","",SUM(Z$17:Z46))</f>
        <v>20000</v>
      </c>
      <c r="OX46" s="139">
        <f t="shared" si="32"/>
        <v>790651</v>
      </c>
      <c r="OY46" s="132">
        <f t="shared" si="33"/>
        <v>0.10799213552899498</v>
      </c>
      <c r="OZ46" s="140">
        <f t="shared" si="34"/>
        <v>698034</v>
      </c>
      <c r="PA46" s="84">
        <f t="shared" si="15"/>
        <v>3.4263878537699154E-2</v>
      </c>
      <c r="PB46" s="130">
        <f>IF(A46="","",SUM(HB$17:HB46)+SUM(KY$17:KY46))</f>
        <v>72815.430000000008</v>
      </c>
      <c r="PC46" s="131">
        <f t="shared" si="35"/>
        <v>770849.43</v>
      </c>
      <c r="PD46" s="132">
        <f t="shared" si="36"/>
        <v>0.16703243348811023</v>
      </c>
      <c r="PE46" s="133"/>
      <c r="PF46" s="134"/>
      <c r="PG46" s="133"/>
      <c r="PH46" s="134"/>
      <c r="PI46" s="135">
        <f t="shared" si="37"/>
        <v>1468685</v>
      </c>
      <c r="PJ46" s="136">
        <f t="shared" si="10"/>
        <v>2.0326143666889673E-2</v>
      </c>
      <c r="PK46" s="123"/>
      <c r="PL46" s="137">
        <f t="shared" si="38"/>
        <v>92815.430000000008</v>
      </c>
      <c r="PM46" s="9">
        <f t="shared" si="39"/>
        <v>1561500.4300000002</v>
      </c>
      <c r="PN46" s="138">
        <f t="shared" si="40"/>
        <v>0.13637221910909619</v>
      </c>
      <c r="PO46" s="86">
        <f>IF(PI46="","",MAX(PI$15:PI46))</f>
        <v>1516789</v>
      </c>
      <c r="PP46" s="113">
        <f t="shared" si="11"/>
        <v>-3.2753109073763262E-2</v>
      </c>
      <c r="PQ46" s="41"/>
      <c r="PR46" s="302"/>
    </row>
    <row r="47" spans="1:434" s="1" customFormat="1" ht="15" customHeight="1" x14ac:dyDescent="0.45">
      <c r="A47" s="18">
        <v>43556</v>
      </c>
      <c r="B47" s="3"/>
      <c r="C47" s="4"/>
      <c r="D47" s="10"/>
      <c r="E47" s="10"/>
      <c r="F47" s="10"/>
      <c r="G47" s="4"/>
      <c r="H47" s="4"/>
      <c r="I47" s="4"/>
      <c r="J47" s="4"/>
      <c r="K47" s="4"/>
      <c r="L47" s="4"/>
      <c r="M47" s="4"/>
      <c r="N47" s="4"/>
      <c r="O47" s="10"/>
      <c r="P47" s="4"/>
      <c r="Q47" s="4"/>
      <c r="R47" s="4"/>
      <c r="S47" s="4"/>
      <c r="T47" s="4"/>
      <c r="U47" s="10"/>
      <c r="V47" s="10"/>
      <c r="W47" s="10"/>
      <c r="X47" s="4"/>
      <c r="Y47" s="18">
        <f t="shared" si="41"/>
        <v>43556</v>
      </c>
      <c r="Z47" s="4"/>
      <c r="AA47" s="77">
        <f t="shared" si="21"/>
        <v>-1</v>
      </c>
      <c r="AB47" s="8">
        <f t="shared" si="27"/>
        <v>0</v>
      </c>
      <c r="AC47" s="2"/>
      <c r="AD47" s="3"/>
      <c r="AE47" s="4"/>
      <c r="AF47" s="4"/>
      <c r="AG47" s="4"/>
      <c r="AH47" s="4"/>
      <c r="AJ47" s="4"/>
      <c r="AK47" s="4"/>
      <c r="AL47" s="4"/>
      <c r="AM47" s="4"/>
      <c r="AO47" s="4"/>
      <c r="AP47" s="10"/>
      <c r="AQ47" s="4"/>
      <c r="AR47" s="4"/>
      <c r="AS47" s="4"/>
      <c r="AT47" s="4"/>
      <c r="AU47" s="4"/>
      <c r="AW47" s="4"/>
      <c r="AX47" s="4"/>
      <c r="AY47" s="4"/>
      <c r="AZ47" s="4"/>
      <c r="BA47" s="4"/>
      <c r="BB47" s="4"/>
      <c r="BC47" s="4"/>
      <c r="BD47" s="4"/>
      <c r="BE47" s="4"/>
      <c r="BF47" s="4"/>
      <c r="BH47" s="4"/>
      <c r="BI47" s="4"/>
      <c r="BJ47" s="4"/>
      <c r="BK47" s="4"/>
      <c r="BL47" s="4"/>
      <c r="BM47" s="4"/>
      <c r="BN47" s="4"/>
      <c r="BO47" s="4"/>
      <c r="BP47" s="4"/>
      <c r="BQ47" s="4"/>
      <c r="BS47" s="10"/>
      <c r="BT47" s="4"/>
      <c r="BU47" s="4"/>
      <c r="BV47" s="4"/>
      <c r="BW47" s="4"/>
      <c r="CA47" s="4"/>
      <c r="CB47" s="4"/>
      <c r="CC47" s="4"/>
      <c r="CD47" s="4"/>
      <c r="CE47" s="4"/>
      <c r="CF47" s="4"/>
      <c r="CG47" s="4"/>
      <c r="CH47" s="4"/>
      <c r="CI47" s="4"/>
      <c r="CJ47" s="10"/>
      <c r="CK47" s="4"/>
      <c r="CL47" s="10"/>
      <c r="CN47" s="4"/>
      <c r="CO47" s="10"/>
      <c r="CP47" s="4"/>
      <c r="CQ47" s="4"/>
      <c r="CR47" s="10"/>
      <c r="CS47" s="4"/>
      <c r="CT47" s="4"/>
      <c r="CU47" s="4"/>
      <c r="CV47" s="4"/>
      <c r="CW47" s="4"/>
      <c r="CX47" s="4"/>
      <c r="CY47" s="77">
        <f t="shared" si="12"/>
        <v>-1</v>
      </c>
      <c r="CZ47" s="8">
        <f t="shared" si="28"/>
        <v>0</v>
      </c>
      <c r="DA47" s="2"/>
      <c r="DH47" s="4"/>
      <c r="DJ47" s="4"/>
      <c r="DX47" s="2"/>
      <c r="DY47" s="32"/>
      <c r="DZ47" s="4"/>
      <c r="EA47" s="32"/>
      <c r="EB47" s="32"/>
      <c r="EC47" s="32"/>
      <c r="ED47" s="32"/>
      <c r="EE47" s="4"/>
      <c r="EF47" s="4"/>
      <c r="EG47" s="32"/>
      <c r="EH47" s="32"/>
      <c r="EI47" s="32"/>
      <c r="EJ47" s="32"/>
      <c r="EK47" s="5"/>
      <c r="EO47" s="2"/>
      <c r="EQ47" s="468" t="s">
        <v>1</v>
      </c>
      <c r="ER47"/>
      <c r="ES47" s="6" t="s">
        <v>327</v>
      </c>
      <c r="ET47" s="10"/>
      <c r="EU47" s="10"/>
      <c r="EV47" s="10"/>
      <c r="EW47" s="10"/>
      <c r="EX47" s="4"/>
      <c r="EY47" s="4"/>
      <c r="EZ47" s="4"/>
      <c r="FA47" s="4"/>
      <c r="FB47" s="4"/>
      <c r="FC47" s="4"/>
      <c r="FD47" s="4"/>
      <c r="FE47" s="4"/>
      <c r="FF47" s="4"/>
      <c r="FG47" s="4"/>
      <c r="FH47" s="10"/>
      <c r="FI47" s="10"/>
      <c r="FJ47" s="10"/>
      <c r="FK47" s="10"/>
      <c r="FL47" s="10"/>
      <c r="FM47" s="10"/>
      <c r="FN47" s="4"/>
      <c r="FO47" s="4"/>
      <c r="FP47" s="10"/>
      <c r="FQ47" s="4"/>
      <c r="FR47" s="4"/>
      <c r="FS47" s="10"/>
      <c r="FT47" s="4"/>
      <c r="FU47" s="4"/>
      <c r="FV47" s="4"/>
      <c r="FW47" s="4"/>
      <c r="FX47" s="4"/>
      <c r="FY47" s="4"/>
      <c r="FZ47" s="10"/>
      <c r="GA47" s="10"/>
      <c r="GB47" s="10"/>
      <c r="GC47" s="10"/>
      <c r="GD47" s="4"/>
      <c r="GE47" s="4"/>
      <c r="GF47" s="4"/>
      <c r="GG47" s="4"/>
      <c r="GH47" s="4"/>
      <c r="GI47" s="4"/>
      <c r="GJ47" s="4"/>
      <c r="GK47" s="4"/>
      <c r="GL47" s="4"/>
      <c r="GM47" s="4"/>
      <c r="GN47" s="10"/>
      <c r="GO47" s="10"/>
      <c r="GP47" s="4"/>
      <c r="GQ47" s="10"/>
      <c r="GR47" s="4"/>
      <c r="GS47" s="10"/>
      <c r="GT47" s="4"/>
      <c r="GU47" s="10"/>
      <c r="GV47" s="4"/>
      <c r="GW47" s="10"/>
      <c r="GX47" s="10"/>
      <c r="GY47" s="10"/>
      <c r="GZ47" s="10"/>
      <c r="HA47" s="18">
        <v>43556</v>
      </c>
      <c r="HB47" s="4">
        <v>4000</v>
      </c>
      <c r="HC47" s="77">
        <f t="shared" si="22"/>
        <v>-1</v>
      </c>
      <c r="HD47" s="8">
        <f t="shared" si="29"/>
        <v>0</v>
      </c>
      <c r="HE47" s="2"/>
      <c r="HF47" s="3"/>
      <c r="HG47" s="4"/>
      <c r="HH47" s="4"/>
      <c r="HI47" s="4"/>
      <c r="HJ47" s="4"/>
      <c r="HK47" s="4"/>
      <c r="HL47" s="4"/>
      <c r="HM47" s="4"/>
      <c r="HN47" s="4"/>
      <c r="HO47" s="4"/>
      <c r="HP47" s="4"/>
      <c r="HQ47" s="4"/>
      <c r="HR47" s="4"/>
      <c r="HS47" s="4"/>
      <c r="HT47" s="10"/>
      <c r="HU47" s="10"/>
      <c r="HV47" s="4"/>
      <c r="HW47" s="4"/>
      <c r="HX47" s="4"/>
      <c r="HY47" s="4"/>
      <c r="HZ47" s="4"/>
      <c r="IA47" s="4"/>
      <c r="IB47" s="4"/>
      <c r="IC47" s="4"/>
      <c r="ID47" s="10"/>
      <c r="IE47" s="4"/>
      <c r="IF47" s="10"/>
      <c r="IG47" s="4"/>
      <c r="IH47" s="4"/>
      <c r="II47" s="4"/>
      <c r="IJ47" s="4"/>
      <c r="IK47" s="4"/>
      <c r="IL47" s="4"/>
      <c r="IM47" s="4"/>
      <c r="IN47" s="4"/>
      <c r="IO47" s="4"/>
      <c r="IP47" s="4"/>
      <c r="IQ47" s="4"/>
      <c r="IR47" s="4"/>
      <c r="IS47" s="4"/>
      <c r="IT47" s="10"/>
      <c r="IU47" s="4"/>
      <c r="IV47" s="4"/>
      <c r="IW47" s="4"/>
      <c r="IX47" s="10"/>
      <c r="IY47" s="4"/>
      <c r="IZ47" s="4"/>
      <c r="JA47" s="4"/>
      <c r="JB47" s="4"/>
      <c r="JC47" s="4"/>
      <c r="JD47" s="4"/>
      <c r="JE47" s="4"/>
      <c r="JF47" s="10"/>
      <c r="JG47" s="10"/>
      <c r="JH47" s="10"/>
      <c r="JI47" s="4"/>
      <c r="JJ47" s="4"/>
      <c r="JK47" s="4"/>
      <c r="JL47" s="4"/>
      <c r="JM47" s="4"/>
      <c r="JN47" s="10"/>
      <c r="JO47" s="10"/>
      <c r="JP47" s="4"/>
      <c r="JQ47" s="4"/>
      <c r="JR47" s="4"/>
      <c r="JS47" s="4"/>
      <c r="JT47" s="4"/>
      <c r="JU47" s="10"/>
      <c r="JV47" s="4"/>
      <c r="JW47" s="4"/>
      <c r="JX47" s="4"/>
      <c r="JY47" s="4"/>
      <c r="JZ47" s="4"/>
      <c r="KA47" s="4"/>
      <c r="KB47" s="4"/>
      <c r="KC47" s="4"/>
      <c r="KD47" s="10"/>
      <c r="KE47" s="10"/>
      <c r="KF47" s="10"/>
      <c r="KG47" s="4"/>
      <c r="KH47" s="10"/>
      <c r="KI47" s="10"/>
      <c r="KJ47" s="10"/>
      <c r="KK47" s="10"/>
      <c r="KL47" s="4"/>
      <c r="KM47" s="10"/>
      <c r="KN47" s="4"/>
      <c r="KO47" s="4"/>
      <c r="KP47" s="4"/>
      <c r="KQ47" s="4"/>
      <c r="KR47" s="10"/>
      <c r="KS47" s="4"/>
      <c r="KT47" s="4"/>
      <c r="KU47" s="4"/>
      <c r="KV47" s="4"/>
      <c r="KW47" s="4"/>
      <c r="KX47" s="18"/>
      <c r="KY47" s="31"/>
      <c r="KZ47" s="77">
        <f t="shared" si="23"/>
        <v>-1</v>
      </c>
      <c r="LA47" s="8">
        <f t="shared" si="30"/>
        <v>0</v>
      </c>
      <c r="LB47" s="2"/>
      <c r="LC47" s="43"/>
      <c r="MO47" s="172"/>
      <c r="NO47" s="77"/>
      <c r="NP47" s="63"/>
      <c r="NQ47"/>
      <c r="NR47" s="77" t="e">
        <f t="shared" si="24"/>
        <v>#DIV/0!</v>
      </c>
      <c r="NS47" s="8">
        <f t="shared" ref="NS47:NS82" si="42">IF(A47="","",SUM(LD47:NM47))</f>
        <v>0</v>
      </c>
      <c r="NT47" s="2"/>
      <c r="NU47" s="7"/>
      <c r="NV47" s="4"/>
      <c r="NW47" s="4"/>
      <c r="NX47" s="4"/>
      <c r="NY47" s="4"/>
      <c r="NZ47" s="4"/>
      <c r="OA47" s="4"/>
      <c r="OB47" s="4"/>
      <c r="OC47" s="4"/>
      <c r="OD47" s="4"/>
      <c r="OE47" s="77">
        <f t="shared" si="25"/>
        <v>-1</v>
      </c>
      <c r="OF47" s="8">
        <f t="shared" ref="OF47:OF78" si="43">IF(A47="","",SUM(NV47:OD47))</f>
        <v>0</v>
      </c>
      <c r="OG47" s="2"/>
      <c r="OJ47" s="40"/>
      <c r="OK47" s="40"/>
      <c r="OL47" s="40"/>
      <c r="OM47" s="40"/>
      <c r="ON47" s="40"/>
      <c r="OO47" s="40"/>
      <c r="OQ47" s="40"/>
      <c r="OR47" s="77"/>
      <c r="OS47" s="35"/>
      <c r="OT47" s="37"/>
      <c r="OU47" s="126">
        <f t="shared" si="31"/>
        <v>0</v>
      </c>
      <c r="OV47" s="71">
        <f t="shared" si="9"/>
        <v>-1</v>
      </c>
      <c r="OW47" s="139">
        <f>IF(A47="","",SUM(Z$17:Z47))</f>
        <v>20000</v>
      </c>
      <c r="OX47" s="139">
        <f t="shared" si="32"/>
        <v>20000</v>
      </c>
      <c r="OY47" s="132">
        <f t="shared" si="33"/>
        <v>-0.97197266213464617</v>
      </c>
      <c r="OZ47" s="140">
        <f t="shared" si="34"/>
        <v>0</v>
      </c>
      <c r="PA47" s="84">
        <f t="shared" si="15"/>
        <v>-1</v>
      </c>
      <c r="PB47" s="130">
        <f>IF(A47="","",SUM(HB$17:HB47)+SUM(KY$17:KY47))</f>
        <v>76815.430000000008</v>
      </c>
      <c r="PC47" s="131">
        <f t="shared" si="35"/>
        <v>76815.430000000008</v>
      </c>
      <c r="PD47" s="132">
        <f t="shared" si="36"/>
        <v>-0.88370478758434623</v>
      </c>
      <c r="PE47" s="133"/>
      <c r="PF47" s="134"/>
      <c r="PG47" s="133"/>
      <c r="PH47" s="134"/>
      <c r="PI47" s="135">
        <f t="shared" si="37"/>
        <v>0</v>
      </c>
      <c r="PJ47" s="136">
        <f t="shared" si="10"/>
        <v>-1</v>
      </c>
      <c r="PK47" s="123"/>
      <c r="PL47" s="137">
        <f t="shared" si="38"/>
        <v>96815.430000000008</v>
      </c>
      <c r="PM47" s="9">
        <f t="shared" si="39"/>
        <v>96815.430000000008</v>
      </c>
      <c r="PN47" s="138">
        <f t="shared" si="40"/>
        <v>-0.92954317339950954</v>
      </c>
      <c r="PO47" s="86">
        <f>IF(PI47="","",MAX(PI$15:PI47))</f>
        <v>1516789</v>
      </c>
      <c r="PP47" s="113" t="e">
        <f t="shared" si="11"/>
        <v>#DIV/0!</v>
      </c>
      <c r="PQ47" s="41"/>
      <c r="PR47" s="302"/>
    </row>
    <row r="48" spans="1:434" s="1" customFormat="1" ht="15" customHeight="1" x14ac:dyDescent="0.45">
      <c r="A48" s="18">
        <v>43566</v>
      </c>
      <c r="B48" s="3"/>
      <c r="C48" s="4"/>
      <c r="D48" s="10"/>
      <c r="E48" s="10"/>
      <c r="F48" s="10"/>
      <c r="G48" s="4"/>
      <c r="H48" s="4"/>
      <c r="I48" s="4"/>
      <c r="J48" s="4"/>
      <c r="K48" s="4"/>
      <c r="L48" s="4"/>
      <c r="M48" s="4"/>
      <c r="N48" s="4"/>
      <c r="O48" s="10"/>
      <c r="P48" s="4"/>
      <c r="Q48" s="4"/>
      <c r="R48" s="4"/>
      <c r="S48" s="4"/>
      <c r="T48" s="4"/>
      <c r="U48" s="10"/>
      <c r="V48" s="10"/>
      <c r="W48" s="10"/>
      <c r="X48" s="4"/>
      <c r="Y48" s="18"/>
      <c r="Z48" s="4"/>
      <c r="AA48" s="77" t="e">
        <f t="shared" si="21"/>
        <v>#DIV/0!</v>
      </c>
      <c r="AB48" s="8">
        <f t="shared" si="27"/>
        <v>0</v>
      </c>
      <c r="AC48" s="2"/>
      <c r="AD48" s="3"/>
      <c r="AE48" s="4"/>
      <c r="AF48" s="4"/>
      <c r="AG48" s="4"/>
      <c r="AH48" s="4"/>
      <c r="AJ48" s="4"/>
      <c r="AK48" s="4"/>
      <c r="AL48" s="4"/>
      <c r="AM48" s="4"/>
      <c r="AO48" s="4"/>
      <c r="AP48" s="10"/>
      <c r="AQ48" s="4"/>
      <c r="AR48" s="4"/>
      <c r="AS48" s="4"/>
      <c r="AT48" s="4"/>
      <c r="AU48" s="4"/>
      <c r="AW48" s="4"/>
      <c r="AX48" s="4"/>
      <c r="AY48" s="4"/>
      <c r="AZ48" s="4"/>
      <c r="BA48" s="4"/>
      <c r="BB48" s="4"/>
      <c r="BC48" s="4"/>
      <c r="BD48" s="4"/>
      <c r="BE48" s="4"/>
      <c r="BF48" s="4"/>
      <c r="BH48" s="4"/>
      <c r="BI48" s="4"/>
      <c r="BJ48" s="4"/>
      <c r="BK48" s="4"/>
      <c r="BL48" s="4"/>
      <c r="BM48" s="4"/>
      <c r="BN48" s="4"/>
      <c r="BO48" s="4"/>
      <c r="BP48" s="4"/>
      <c r="BQ48" s="4"/>
      <c r="BS48" s="10"/>
      <c r="BT48" s="4"/>
      <c r="BU48" s="4"/>
      <c r="BV48" s="4"/>
      <c r="BW48" s="4"/>
      <c r="CA48" s="4"/>
      <c r="CB48" s="4"/>
      <c r="CC48" s="4"/>
      <c r="CD48" s="4"/>
      <c r="CE48" s="4"/>
      <c r="CF48" s="4"/>
      <c r="CG48" s="4"/>
      <c r="CH48" s="4"/>
      <c r="CI48" s="4"/>
      <c r="CJ48" s="10"/>
      <c r="CK48" s="4"/>
      <c r="CL48" s="10"/>
      <c r="CN48" s="4"/>
      <c r="CO48" s="10"/>
      <c r="CP48" s="4"/>
      <c r="CQ48" s="4"/>
      <c r="CR48" s="10"/>
      <c r="CS48" s="4"/>
      <c r="CT48" s="4"/>
      <c r="CU48" s="4"/>
      <c r="CV48" s="4"/>
      <c r="CW48" s="4"/>
      <c r="CX48" s="4"/>
      <c r="CY48" s="77" t="e">
        <f t="shared" si="12"/>
        <v>#DIV/0!</v>
      </c>
      <c r="CZ48" s="8">
        <f t="shared" si="28"/>
        <v>0</v>
      </c>
      <c r="DA48" s="2"/>
      <c r="DH48" s="4"/>
      <c r="DJ48" s="4"/>
      <c r="DX48" s="2"/>
      <c r="DY48" s="32"/>
      <c r="DZ48" s="4"/>
      <c r="EA48" s="32"/>
      <c r="EB48" s="32"/>
      <c r="EC48" s="32"/>
      <c r="ED48" s="32"/>
      <c r="EE48" s="4"/>
      <c r="EF48" s="4"/>
      <c r="EG48" s="32"/>
      <c r="EH48" s="32"/>
      <c r="EI48" s="32"/>
      <c r="EJ48" s="32"/>
      <c r="EK48" s="5"/>
      <c r="EO48" s="2"/>
      <c r="EQ48" s="468" t="s">
        <v>1</v>
      </c>
      <c r="ER48"/>
      <c r="ES48" s="6" t="s">
        <v>318</v>
      </c>
      <c r="ET48" s="10"/>
      <c r="EU48" s="10"/>
      <c r="EV48" s="10"/>
      <c r="EW48" s="10"/>
      <c r="EX48" s="4"/>
      <c r="EY48" s="4"/>
      <c r="EZ48" s="4"/>
      <c r="FA48" s="4"/>
      <c r="FB48" s="4"/>
      <c r="FC48" s="4"/>
      <c r="FD48" s="4"/>
      <c r="FE48" s="4"/>
      <c r="FF48" s="4"/>
      <c r="FG48" s="4"/>
      <c r="FH48" s="10"/>
      <c r="FI48" s="10"/>
      <c r="FJ48" s="10"/>
      <c r="FK48" s="10"/>
      <c r="FL48" s="10"/>
      <c r="FM48" s="10"/>
      <c r="FN48" s="4"/>
      <c r="FO48" s="4"/>
      <c r="FP48" s="10"/>
      <c r="FQ48" s="4"/>
      <c r="FR48" s="4"/>
      <c r="FS48" s="10"/>
      <c r="FT48" s="4"/>
      <c r="FU48" s="4"/>
      <c r="FV48" s="4"/>
      <c r="FW48" s="4"/>
      <c r="FX48" s="4"/>
      <c r="FY48" s="4"/>
      <c r="FZ48" s="10"/>
      <c r="GA48" s="10"/>
      <c r="GB48" s="10"/>
      <c r="GC48" s="10"/>
      <c r="GD48" s="4"/>
      <c r="GE48" s="4"/>
      <c r="GF48" s="4"/>
      <c r="GG48" s="4"/>
      <c r="GH48" s="4"/>
      <c r="GI48" s="4"/>
      <c r="GJ48" s="4"/>
      <c r="GK48" s="4"/>
      <c r="GL48" s="4"/>
      <c r="GM48" s="4"/>
      <c r="GN48" s="10"/>
      <c r="GO48" s="10"/>
      <c r="GP48" s="4"/>
      <c r="GQ48" s="10"/>
      <c r="GR48" s="4"/>
      <c r="GS48" s="10"/>
      <c r="GT48" s="4"/>
      <c r="GU48" s="10"/>
      <c r="GV48" s="4"/>
      <c r="GW48" s="10"/>
      <c r="GX48" s="10"/>
      <c r="GY48" s="10"/>
      <c r="GZ48" s="10"/>
      <c r="HA48" s="18">
        <v>43566</v>
      </c>
      <c r="HB48" s="4">
        <v>886.9</v>
      </c>
      <c r="HC48" s="77" t="e">
        <f t="shared" si="22"/>
        <v>#DIV/0!</v>
      </c>
      <c r="HD48" s="8">
        <f t="shared" si="29"/>
        <v>0</v>
      </c>
      <c r="HE48" s="2"/>
      <c r="HF48" s="3" t="s">
        <v>319</v>
      </c>
      <c r="HG48" s="4"/>
      <c r="HH48" s="4"/>
      <c r="HI48" s="4"/>
      <c r="HJ48" s="4"/>
      <c r="HK48" s="4"/>
      <c r="HL48" s="4"/>
      <c r="HM48" s="4"/>
      <c r="HN48" s="4"/>
      <c r="HO48" s="4"/>
      <c r="HP48" s="4"/>
      <c r="HQ48" s="4"/>
      <c r="HR48" s="4"/>
      <c r="HS48" s="4"/>
      <c r="HT48" s="10"/>
      <c r="HU48" s="10"/>
      <c r="HV48" s="4"/>
      <c r="HW48" s="4"/>
      <c r="HX48" s="4"/>
      <c r="HY48" s="4"/>
      <c r="HZ48" s="4"/>
      <c r="IA48" s="4"/>
      <c r="IB48" s="4"/>
      <c r="IC48" s="4"/>
      <c r="ID48" s="10"/>
      <c r="IE48" s="4"/>
      <c r="IF48" s="10"/>
      <c r="IG48" s="4"/>
      <c r="IH48" s="4"/>
      <c r="II48" s="4"/>
      <c r="IJ48" s="4"/>
      <c r="IK48" s="4"/>
      <c r="IL48" s="4"/>
      <c r="IM48" s="4"/>
      <c r="IN48" s="4"/>
      <c r="IO48" s="4"/>
      <c r="IP48" s="4"/>
      <c r="IQ48" s="4"/>
      <c r="IR48" s="4"/>
      <c r="IS48" s="4"/>
      <c r="IT48" s="10"/>
      <c r="IU48" s="4"/>
      <c r="IV48" s="4"/>
      <c r="IW48" s="4"/>
      <c r="IX48" s="10"/>
      <c r="IY48" s="4"/>
      <c r="IZ48" s="4"/>
      <c r="JA48" s="4"/>
      <c r="JB48" s="4"/>
      <c r="JC48" s="4"/>
      <c r="JD48" s="4"/>
      <c r="JE48" s="4"/>
      <c r="JF48" s="10"/>
      <c r="JG48" s="10"/>
      <c r="JH48" s="10"/>
      <c r="JI48" s="4"/>
      <c r="JJ48" s="4"/>
      <c r="JK48" s="4"/>
      <c r="JL48" s="4"/>
      <c r="JM48" s="4"/>
      <c r="JN48" s="10"/>
      <c r="JO48" s="10"/>
      <c r="JP48" s="4"/>
      <c r="JQ48" s="4"/>
      <c r="JR48" s="4"/>
      <c r="JS48" s="4"/>
      <c r="JT48" s="4"/>
      <c r="JU48" s="10"/>
      <c r="JV48" s="4"/>
      <c r="JW48" s="4"/>
      <c r="JX48" s="4"/>
      <c r="JY48" s="4"/>
      <c r="JZ48" s="4"/>
      <c r="KA48" s="4"/>
      <c r="KB48" s="4"/>
      <c r="KC48" s="4"/>
      <c r="KD48" s="10"/>
      <c r="KE48" s="10"/>
      <c r="KF48" s="10"/>
      <c r="KG48" s="4"/>
      <c r="KH48" s="10"/>
      <c r="KI48" s="10"/>
      <c r="KJ48" s="10"/>
      <c r="KK48" s="10"/>
      <c r="KL48" s="4"/>
      <c r="KM48" s="10"/>
      <c r="KN48" s="4"/>
      <c r="KO48" s="4"/>
      <c r="KP48" s="4"/>
      <c r="KQ48" s="4"/>
      <c r="KR48" s="10"/>
      <c r="KS48" s="4"/>
      <c r="KT48" s="4"/>
      <c r="KU48" s="4"/>
      <c r="KV48" s="4"/>
      <c r="KW48" s="4"/>
      <c r="KX48" s="18">
        <v>43566</v>
      </c>
      <c r="KY48" s="31">
        <v>864.78</v>
      </c>
      <c r="KZ48" s="77" t="e">
        <f t="shared" si="23"/>
        <v>#DIV/0!</v>
      </c>
      <c r="LA48" s="8">
        <f t="shared" si="30"/>
        <v>0</v>
      </c>
      <c r="LB48" s="2"/>
      <c r="LC48" s="43"/>
      <c r="MO48" s="172"/>
      <c r="NO48" s="77"/>
      <c r="NP48" s="63"/>
      <c r="NQ48"/>
      <c r="NR48" s="77" t="e">
        <f t="shared" si="24"/>
        <v>#DIV/0!</v>
      </c>
      <c r="NS48" s="8">
        <f t="shared" si="42"/>
        <v>0</v>
      </c>
      <c r="NT48" s="2"/>
      <c r="NU48" s="7"/>
      <c r="NV48" s="4"/>
      <c r="NW48" s="4"/>
      <c r="NX48" s="4"/>
      <c r="NY48" s="4"/>
      <c r="NZ48" s="4"/>
      <c r="OA48" s="4"/>
      <c r="OB48" s="4"/>
      <c r="OC48" s="4"/>
      <c r="OD48" s="4"/>
      <c r="OE48" s="77" t="e">
        <f t="shared" si="25"/>
        <v>#DIV/0!</v>
      </c>
      <c r="OF48" s="8">
        <f t="shared" si="43"/>
        <v>0</v>
      </c>
      <c r="OG48" s="2"/>
      <c r="OJ48" s="40"/>
      <c r="OK48" s="40"/>
      <c r="OL48" s="40"/>
      <c r="OM48" s="40"/>
      <c r="ON48" s="40"/>
      <c r="OO48" s="40"/>
      <c r="OQ48" s="40"/>
      <c r="OR48" s="77"/>
      <c r="OS48" s="35"/>
      <c r="OT48" s="37"/>
      <c r="OU48" s="126">
        <f t="shared" si="31"/>
        <v>0</v>
      </c>
      <c r="OV48" s="71" t="e">
        <f t="shared" ref="OV48:OV79" si="44">IF(A48="","",(OU48-OU47)/OU47)</f>
        <v>#DIV/0!</v>
      </c>
      <c r="OW48" s="139">
        <f>IF(A48="","",SUM(Z$17:Z48))</f>
        <v>20000</v>
      </c>
      <c r="OX48" s="139">
        <f t="shared" si="32"/>
        <v>20000</v>
      </c>
      <c r="OY48" s="132">
        <f t="shared" si="33"/>
        <v>-0.97197266213464617</v>
      </c>
      <c r="OZ48" s="140">
        <f t="shared" si="34"/>
        <v>0</v>
      </c>
      <c r="PA48" s="84" t="e">
        <f t="shared" si="15"/>
        <v>#DIV/0!</v>
      </c>
      <c r="PB48" s="130">
        <f>IF(A48="","",SUM(HB$17:HB48)+SUM(KY$17:KY48))</f>
        <v>78567.11</v>
      </c>
      <c r="PC48" s="131">
        <f t="shared" si="35"/>
        <v>78567.11</v>
      </c>
      <c r="PD48" s="132">
        <f t="shared" si="36"/>
        <v>-0.8810528204250887</v>
      </c>
      <c r="PE48" s="133"/>
      <c r="PF48" s="134"/>
      <c r="PG48" s="133"/>
      <c r="PH48" s="134"/>
      <c r="PI48" s="135">
        <f t="shared" si="37"/>
        <v>0</v>
      </c>
      <c r="PJ48" s="136" t="e">
        <f t="shared" si="10"/>
        <v>#DIV/0!</v>
      </c>
      <c r="PK48" s="123"/>
      <c r="PL48" s="137">
        <f t="shared" si="38"/>
        <v>98567.11</v>
      </c>
      <c r="PM48" s="9">
        <f t="shared" si="39"/>
        <v>98567.11</v>
      </c>
      <c r="PN48" s="138">
        <f t="shared" si="40"/>
        <v>-0.92826839918201587</v>
      </c>
      <c r="PO48" s="86">
        <f>IF(PI48="","",MAX(PI$15:PI48))</f>
        <v>1516789</v>
      </c>
      <c r="PP48" s="113" t="e">
        <f t="shared" si="11"/>
        <v>#DIV/0!</v>
      </c>
      <c r="PQ48" s="41"/>
      <c r="PR48" s="302"/>
    </row>
    <row r="49" spans="1:434" s="1" customFormat="1" ht="15" customHeight="1" x14ac:dyDescent="0.45">
      <c r="A49" s="18">
        <v>43587</v>
      </c>
      <c r="B49" s="3" t="s">
        <v>328</v>
      </c>
      <c r="C49" s="4">
        <v>7526</v>
      </c>
      <c r="D49" s="10"/>
      <c r="E49" s="10"/>
      <c r="F49" s="10"/>
      <c r="G49" s="4"/>
      <c r="H49" s="4"/>
      <c r="I49" s="4"/>
      <c r="J49" s="4"/>
      <c r="K49" s="4"/>
      <c r="L49" s="4"/>
      <c r="M49" s="4"/>
      <c r="N49" s="4"/>
      <c r="O49" s="10"/>
      <c r="P49" s="4"/>
      <c r="Q49" s="4"/>
      <c r="R49" s="4">
        <v>17852</v>
      </c>
      <c r="S49" s="4">
        <v>22990</v>
      </c>
      <c r="T49" s="4"/>
      <c r="U49" s="10">
        <v>52292</v>
      </c>
      <c r="V49" s="10"/>
      <c r="W49" s="10"/>
      <c r="X49" s="4"/>
      <c r="Y49" s="18" t="str">
        <f t="shared" ref="Y49:Y63" si="45">IF(HA49="","",HA49)</f>
        <v/>
      </c>
      <c r="Z49" s="4"/>
      <c r="AA49" s="77" t="e">
        <f t="shared" si="21"/>
        <v>#DIV/0!</v>
      </c>
      <c r="AB49" s="8">
        <f t="shared" si="27"/>
        <v>100660</v>
      </c>
      <c r="AC49" s="2"/>
      <c r="AD49" s="3" t="s">
        <v>329</v>
      </c>
      <c r="AE49" s="4">
        <v>72273</v>
      </c>
      <c r="AF49" s="4">
        <v>370610</v>
      </c>
      <c r="AG49" s="4"/>
      <c r="AH49" s="4"/>
      <c r="AJ49" s="4"/>
      <c r="AK49" s="4"/>
      <c r="AL49" s="4"/>
      <c r="AM49" s="4"/>
      <c r="AO49" s="4"/>
      <c r="AP49" s="10"/>
      <c r="AQ49" s="4"/>
      <c r="AR49" s="4"/>
      <c r="AS49" s="4"/>
      <c r="AT49" s="4"/>
      <c r="AU49" s="4"/>
      <c r="AW49" s="4"/>
      <c r="AX49" s="4">
        <v>11865</v>
      </c>
      <c r="AY49" s="4"/>
      <c r="AZ49" s="4"/>
      <c r="BA49" s="4"/>
      <c r="BB49" s="4"/>
      <c r="BC49" s="4"/>
      <c r="BD49" s="4"/>
      <c r="BE49" s="4"/>
      <c r="BF49" s="4"/>
      <c r="BH49" s="4"/>
      <c r="BI49" s="4"/>
      <c r="BJ49" s="4"/>
      <c r="BK49" s="4"/>
      <c r="BL49" s="4"/>
      <c r="BM49" s="4">
        <v>19557</v>
      </c>
      <c r="BN49" s="4">
        <v>20000</v>
      </c>
      <c r="BO49" s="4"/>
      <c r="BP49" s="4"/>
      <c r="BQ49" s="4"/>
      <c r="BS49" s="10"/>
      <c r="BT49" s="4"/>
      <c r="BU49" s="4"/>
      <c r="BV49" s="4"/>
      <c r="BW49" s="4"/>
      <c r="CA49" s="4">
        <v>98975</v>
      </c>
      <c r="CB49" s="4"/>
      <c r="CC49" s="4">
        <v>18524</v>
      </c>
      <c r="CD49" s="4"/>
      <c r="CE49" s="4"/>
      <c r="CF49" s="4"/>
      <c r="CG49" s="4"/>
      <c r="CH49" s="4"/>
      <c r="CI49" s="4"/>
      <c r="CJ49" s="10"/>
      <c r="CK49" s="4"/>
      <c r="CL49" s="10"/>
      <c r="CN49" s="4"/>
      <c r="CO49" s="10"/>
      <c r="CP49" s="4"/>
      <c r="CQ49" s="4">
        <v>17482</v>
      </c>
      <c r="CR49" s="10"/>
      <c r="CS49" s="4"/>
      <c r="CT49" s="4"/>
      <c r="CU49" s="4">
        <v>19749</v>
      </c>
      <c r="CV49" s="4"/>
      <c r="CW49" s="4"/>
      <c r="CX49" s="4"/>
      <c r="CY49" s="77" t="e">
        <f t="shared" ref="CY49:CY80" si="46">IF($A49="","",(CZ49-CZ48)/CZ48)</f>
        <v>#DIV/0!</v>
      </c>
      <c r="CZ49" s="8">
        <f t="shared" si="28"/>
        <v>649035</v>
      </c>
      <c r="DA49" s="2"/>
      <c r="DH49" s="4"/>
      <c r="DJ49" s="4"/>
      <c r="DX49" s="2"/>
      <c r="DY49" s="32"/>
      <c r="DZ49" s="4">
        <v>5</v>
      </c>
      <c r="EA49" s="32"/>
      <c r="EB49" s="32"/>
      <c r="EC49" s="32"/>
      <c r="ED49" s="32"/>
      <c r="EE49" s="4"/>
      <c r="EF49" s="4"/>
      <c r="EG49" s="32"/>
      <c r="EH49" s="32"/>
      <c r="EI49" s="32"/>
      <c r="EJ49" s="32"/>
      <c r="EK49" s="5"/>
      <c r="EO49" s="2"/>
      <c r="EQ49" s="468" t="s">
        <v>1</v>
      </c>
      <c r="ER49"/>
      <c r="ES49" s="6" t="s">
        <v>315</v>
      </c>
      <c r="ET49" s="10"/>
      <c r="EU49" s="10"/>
      <c r="EV49" s="10"/>
      <c r="EW49" s="10"/>
      <c r="EX49" s="4">
        <f>2528+3796</f>
        <v>6324</v>
      </c>
      <c r="EY49" s="4">
        <v>17998</v>
      </c>
      <c r="EZ49" s="4"/>
      <c r="FA49" s="4"/>
      <c r="FB49" s="4"/>
      <c r="FC49" s="4"/>
      <c r="FD49" s="4"/>
      <c r="FE49" s="4"/>
      <c r="FF49" s="4"/>
      <c r="FG49" s="4"/>
      <c r="FH49" s="10">
        <v>22332</v>
      </c>
      <c r="FI49" s="10">
        <v>18190</v>
      </c>
      <c r="FJ49" s="10"/>
      <c r="FK49" s="10">
        <v>19223</v>
      </c>
      <c r="FL49" s="10"/>
      <c r="FM49" s="10">
        <v>24543</v>
      </c>
      <c r="FN49" s="4"/>
      <c r="FO49" s="4"/>
      <c r="FP49" s="10">
        <v>14995</v>
      </c>
      <c r="FQ49" s="4"/>
      <c r="FR49" s="4"/>
      <c r="FS49" s="10">
        <v>19764</v>
      </c>
      <c r="FT49" s="4"/>
      <c r="FU49" s="4"/>
      <c r="FV49" s="4"/>
      <c r="FW49" s="4"/>
      <c r="FX49" s="4"/>
      <c r="FY49" s="4"/>
      <c r="FZ49" s="10">
        <v>21128</v>
      </c>
      <c r="GA49" s="10">
        <v>22333</v>
      </c>
      <c r="GB49" s="10">
        <v>6050</v>
      </c>
      <c r="GC49" s="10"/>
      <c r="GD49" s="4"/>
      <c r="GE49" s="4"/>
      <c r="GF49" s="4">
        <v>19233</v>
      </c>
      <c r="GG49" s="4"/>
      <c r="GH49" s="4"/>
      <c r="GI49" s="4"/>
      <c r="GJ49" s="4">
        <v>19168</v>
      </c>
      <c r="GK49" s="4"/>
      <c r="GL49" s="4"/>
      <c r="GM49" s="4">
        <v>18607</v>
      </c>
      <c r="GN49" s="10"/>
      <c r="GO49" s="10">
        <v>24693</v>
      </c>
      <c r="GP49" s="4"/>
      <c r="GQ49" s="10"/>
      <c r="GR49" s="4">
        <v>24606</v>
      </c>
      <c r="GS49" s="10"/>
      <c r="GT49" s="4">
        <v>22990</v>
      </c>
      <c r="GU49" s="10"/>
      <c r="GV49" s="4"/>
      <c r="GW49" s="10">
        <v>18411</v>
      </c>
      <c r="GX49" s="10">
        <v>22852</v>
      </c>
      <c r="GY49" s="10"/>
      <c r="GZ49" s="10"/>
      <c r="HA49" s="18"/>
      <c r="HB49" s="4"/>
      <c r="HC49" s="77" t="e">
        <f t="shared" si="22"/>
        <v>#DIV/0!</v>
      </c>
      <c r="HD49" s="8">
        <f t="shared" si="29"/>
        <v>363440</v>
      </c>
      <c r="HE49" s="2"/>
      <c r="HF49" s="3" t="s">
        <v>295</v>
      </c>
      <c r="HG49" s="4">
        <v>12879</v>
      </c>
      <c r="HH49" s="4"/>
      <c r="HI49" s="4"/>
      <c r="HJ49" s="4"/>
      <c r="HK49" s="4"/>
      <c r="HL49" s="4"/>
      <c r="HM49" s="4"/>
      <c r="HN49" s="4"/>
      <c r="HO49" s="4"/>
      <c r="HP49" s="4">
        <v>17732</v>
      </c>
      <c r="HQ49" s="4"/>
      <c r="HR49" s="4"/>
      <c r="HS49" s="4"/>
      <c r="HT49" s="10">
        <v>16890</v>
      </c>
      <c r="HU49" s="10"/>
      <c r="HV49" s="4"/>
      <c r="HW49" s="4"/>
      <c r="HX49" s="4"/>
      <c r="HY49" s="4"/>
      <c r="HZ49" s="4"/>
      <c r="IA49" s="4"/>
      <c r="IB49" s="4"/>
      <c r="IC49" s="4">
        <v>17145</v>
      </c>
      <c r="ID49" s="10">
        <v>23499</v>
      </c>
      <c r="IE49" s="4"/>
      <c r="IF49" s="10"/>
      <c r="IG49" s="4"/>
      <c r="IH49" s="4"/>
      <c r="II49" s="4"/>
      <c r="IJ49" s="4"/>
      <c r="IK49" s="4"/>
      <c r="IL49" s="4"/>
      <c r="IM49" s="4"/>
      <c r="IN49" s="4"/>
      <c r="IO49" s="4"/>
      <c r="IP49" s="4"/>
      <c r="IQ49" s="4"/>
      <c r="IR49" s="4">
        <v>19557</v>
      </c>
      <c r="IS49" s="4">
        <v>20000</v>
      </c>
      <c r="IT49" s="10">
        <v>25635</v>
      </c>
      <c r="IU49" s="4"/>
      <c r="IV49" s="4"/>
      <c r="IW49" s="4"/>
      <c r="IX49" s="10">
        <v>23108</v>
      </c>
      <c r="IY49" s="4"/>
      <c r="IZ49" s="4"/>
      <c r="JA49" s="4"/>
      <c r="JB49" s="4"/>
      <c r="JC49" s="4"/>
      <c r="JD49" s="4"/>
      <c r="JE49" s="4"/>
      <c r="JF49" s="10"/>
      <c r="JG49" s="10"/>
      <c r="JH49" s="10"/>
      <c r="JI49" s="4"/>
      <c r="JJ49" s="4"/>
      <c r="JK49" s="4"/>
      <c r="JL49" s="4">
        <v>23916</v>
      </c>
      <c r="JM49" s="4"/>
      <c r="JN49" s="10"/>
      <c r="JO49" s="10"/>
      <c r="JP49" s="4"/>
      <c r="JQ49" s="4"/>
      <c r="JR49" s="4"/>
      <c r="JS49" s="4"/>
      <c r="JT49" s="4"/>
      <c r="JU49" s="10"/>
      <c r="JV49" s="4"/>
      <c r="JW49" s="4"/>
      <c r="JX49" s="4"/>
      <c r="JY49" s="4"/>
      <c r="JZ49" s="4"/>
      <c r="KA49" s="4">
        <v>14630</v>
      </c>
      <c r="KB49" s="4"/>
      <c r="KC49" s="4"/>
      <c r="KD49" s="10">
        <v>15773</v>
      </c>
      <c r="KE49" s="10">
        <v>23180</v>
      </c>
      <c r="KF49" s="10">
        <v>13125</v>
      </c>
      <c r="KG49" s="4"/>
      <c r="KH49" s="10"/>
      <c r="KI49" s="10"/>
      <c r="KJ49" s="10">
        <v>18002</v>
      </c>
      <c r="KK49" s="10">
        <v>17933</v>
      </c>
      <c r="KL49" s="4">
        <v>17482</v>
      </c>
      <c r="KM49" s="10"/>
      <c r="KN49" s="4"/>
      <c r="KO49" s="4"/>
      <c r="KP49" s="4">
        <v>19749</v>
      </c>
      <c r="KQ49" s="4"/>
      <c r="KR49" s="10"/>
      <c r="KS49" s="4">
        <v>20933</v>
      </c>
      <c r="KT49" s="4"/>
      <c r="KU49" s="4"/>
      <c r="KV49" s="4"/>
      <c r="KW49" s="4"/>
      <c r="KX49" s="18"/>
      <c r="KY49" s="31"/>
      <c r="KZ49" s="77" t="e">
        <f t="shared" si="23"/>
        <v>#DIV/0!</v>
      </c>
      <c r="LA49" s="8">
        <f t="shared" si="30"/>
        <v>361168</v>
      </c>
      <c r="LB49" s="2"/>
      <c r="LC49" s="43"/>
      <c r="MO49" s="172"/>
      <c r="NO49" s="77"/>
      <c r="NP49" s="63"/>
      <c r="NQ49"/>
      <c r="NR49" s="77" t="e">
        <f t="shared" si="24"/>
        <v>#DIV/0!</v>
      </c>
      <c r="NS49" s="8">
        <f t="shared" si="42"/>
        <v>0</v>
      </c>
      <c r="NT49" s="2"/>
      <c r="NU49" s="3" t="s">
        <v>295</v>
      </c>
      <c r="NV49" s="4">
        <v>5</v>
      </c>
      <c r="NW49" s="4"/>
      <c r="NX49" s="4"/>
      <c r="NY49" s="4"/>
      <c r="NZ49" s="4"/>
      <c r="OA49" s="4"/>
      <c r="OB49" s="4"/>
      <c r="OC49" s="4">
        <v>25875</v>
      </c>
      <c r="OD49" s="4"/>
      <c r="OE49" s="77" t="e">
        <f t="shared" si="25"/>
        <v>#DIV/0!</v>
      </c>
      <c r="OF49" s="8">
        <f t="shared" si="43"/>
        <v>25880</v>
      </c>
      <c r="OG49" s="2"/>
      <c r="OJ49" s="40"/>
      <c r="OK49" s="40"/>
      <c r="OL49" s="40"/>
      <c r="OM49" s="40"/>
      <c r="ON49" s="40"/>
      <c r="OO49" s="40"/>
      <c r="OQ49" s="40"/>
      <c r="OR49" s="77"/>
      <c r="OS49" s="35"/>
      <c r="OT49" s="37"/>
      <c r="OU49" s="126">
        <f t="shared" si="31"/>
        <v>775575</v>
      </c>
      <c r="OV49" s="71" t="e">
        <f t="shared" si="44"/>
        <v>#DIV/0!</v>
      </c>
      <c r="OW49" s="139">
        <f>IF(A49="","",SUM(Z$17:Z49))</f>
        <v>20000</v>
      </c>
      <c r="OX49" s="139">
        <f t="shared" si="32"/>
        <v>795575</v>
      </c>
      <c r="OY49" s="132">
        <f t="shared" si="33"/>
        <v>0.1148924661114451</v>
      </c>
      <c r="OZ49" s="140">
        <f t="shared" si="34"/>
        <v>724608</v>
      </c>
      <c r="PA49" s="84" t="e">
        <f t="shared" ref="PA49:PA80" si="47">IF(A49="","",(OZ49-OZ48)/OZ48)</f>
        <v>#DIV/0!</v>
      </c>
      <c r="PB49" s="130">
        <f>IF(A49="","",SUM(HB$17:HB49)+SUM(KY$17:KY49))</f>
        <v>78567.11</v>
      </c>
      <c r="PC49" s="131">
        <f t="shared" si="35"/>
        <v>803175.11</v>
      </c>
      <c r="PD49" s="132">
        <f t="shared" si="36"/>
        <v>0.21597210383924204</v>
      </c>
      <c r="PE49" s="133"/>
      <c r="PF49" s="134"/>
      <c r="PG49" s="133"/>
      <c r="PH49" s="134"/>
      <c r="PI49" s="135">
        <f t="shared" si="37"/>
        <v>1500183</v>
      </c>
      <c r="PJ49" s="136" t="e">
        <f t="shared" si="10"/>
        <v>#DIV/0!</v>
      </c>
      <c r="PK49" s="123"/>
      <c r="PL49" s="137">
        <f t="shared" si="38"/>
        <v>98567.11</v>
      </c>
      <c r="PM49" s="9">
        <f t="shared" si="39"/>
        <v>1598750.1099999999</v>
      </c>
      <c r="PN49" s="138">
        <f t="shared" si="40"/>
        <v>0.16348044188602068</v>
      </c>
      <c r="PO49" s="86">
        <f>IF(PI49="","",MAX(PI$15:PI49))</f>
        <v>1516789</v>
      </c>
      <c r="PP49" s="113">
        <f t="shared" si="11"/>
        <v>-1.1069316210089036E-2</v>
      </c>
      <c r="PQ49" s="41"/>
      <c r="PR49" s="302"/>
    </row>
    <row r="50" spans="1:434" s="1" customFormat="1" ht="15" customHeight="1" x14ac:dyDescent="0.45">
      <c r="A50" s="18">
        <v>43622</v>
      </c>
      <c r="B50" s="7" t="s">
        <v>295</v>
      </c>
      <c r="C50" s="4">
        <v>7679</v>
      </c>
      <c r="D50" s="10"/>
      <c r="E50" s="10"/>
      <c r="F50" s="10"/>
      <c r="G50" s="4"/>
      <c r="H50" s="4"/>
      <c r="I50" s="4"/>
      <c r="J50" s="4"/>
      <c r="K50" s="4"/>
      <c r="L50" s="4"/>
      <c r="M50" s="4"/>
      <c r="N50" s="4"/>
      <c r="O50" s="10"/>
      <c r="P50" s="4"/>
      <c r="Q50" s="4"/>
      <c r="R50" s="4">
        <v>16550</v>
      </c>
      <c r="S50" s="4">
        <v>22341</v>
      </c>
      <c r="T50" s="4"/>
      <c r="U50" s="10">
        <v>52837</v>
      </c>
      <c r="V50" s="10"/>
      <c r="W50" s="10"/>
      <c r="X50" s="4"/>
      <c r="Y50" s="18">
        <f t="shared" si="45"/>
        <v>43596</v>
      </c>
      <c r="Z50" s="4"/>
      <c r="AA50" s="77">
        <f t="shared" si="21"/>
        <v>-1.2447844228094576E-2</v>
      </c>
      <c r="AB50" s="8">
        <f t="shared" si="27"/>
        <v>99407</v>
      </c>
      <c r="AC50" s="2"/>
      <c r="AD50" s="7" t="s">
        <v>295</v>
      </c>
      <c r="AE50" s="4">
        <v>74396</v>
      </c>
      <c r="AF50" s="4">
        <v>374086</v>
      </c>
      <c r="AG50" s="4"/>
      <c r="AH50" s="4"/>
      <c r="AJ50" s="4"/>
      <c r="AK50" s="4"/>
      <c r="AL50" s="4"/>
      <c r="AM50" s="4"/>
      <c r="AO50" s="4"/>
      <c r="AP50" s="10"/>
      <c r="AQ50" s="4"/>
      <c r="AR50" s="4"/>
      <c r="AS50" s="4"/>
      <c r="AT50" s="4"/>
      <c r="AU50" s="4"/>
      <c r="AW50" s="4"/>
      <c r="AX50" s="4">
        <v>11908</v>
      </c>
      <c r="AY50" s="4"/>
      <c r="AZ50" s="4"/>
      <c r="BA50" s="4"/>
      <c r="BB50" s="4"/>
      <c r="BC50" s="4"/>
      <c r="BD50" s="4"/>
      <c r="BE50" s="4"/>
      <c r="BF50" s="4"/>
      <c r="BH50" s="4"/>
      <c r="BI50" s="4"/>
      <c r="BJ50" s="4"/>
      <c r="BK50" s="4"/>
      <c r="BL50" s="4"/>
      <c r="BM50" s="4">
        <v>18755</v>
      </c>
      <c r="BN50" s="4">
        <v>18745</v>
      </c>
      <c r="BO50" s="4"/>
      <c r="BP50" s="4"/>
      <c r="BQ50" s="4"/>
      <c r="BS50" s="10"/>
      <c r="BT50" s="4"/>
      <c r="BU50" s="4"/>
      <c r="BV50" s="4"/>
      <c r="BW50" s="4"/>
      <c r="CA50" s="4">
        <v>99481</v>
      </c>
      <c r="CB50" s="4"/>
      <c r="CC50" s="4">
        <v>18589</v>
      </c>
      <c r="CD50" s="4"/>
      <c r="CE50" s="4"/>
      <c r="CF50" s="4"/>
      <c r="CG50" s="4"/>
      <c r="CH50" s="4"/>
      <c r="CI50" s="4"/>
      <c r="CJ50" s="10"/>
      <c r="CK50" s="4"/>
      <c r="CL50" s="10"/>
      <c r="CN50" s="4"/>
      <c r="CO50" s="10"/>
      <c r="CP50" s="4"/>
      <c r="CQ50" s="4">
        <v>17726</v>
      </c>
      <c r="CR50" s="10"/>
      <c r="CS50" s="4"/>
      <c r="CT50" s="4"/>
      <c r="CU50" s="4">
        <v>19902</v>
      </c>
      <c r="CV50" s="4"/>
      <c r="CW50" s="4"/>
      <c r="CX50" s="4"/>
      <c r="CY50" s="77">
        <f t="shared" si="46"/>
        <v>7.0150300060859584E-3</v>
      </c>
      <c r="CZ50" s="8">
        <f t="shared" si="28"/>
        <v>653588</v>
      </c>
      <c r="DA50" s="2"/>
      <c r="DH50" s="4"/>
      <c r="DJ50" s="4"/>
      <c r="DX50" s="2"/>
      <c r="DY50" s="32"/>
      <c r="DZ50" s="4">
        <v>5</v>
      </c>
      <c r="EA50" s="32"/>
      <c r="EB50" s="32"/>
      <c r="EC50" s="32"/>
      <c r="ED50" s="32"/>
      <c r="EE50" s="4"/>
      <c r="EF50" s="4"/>
      <c r="EG50" s="32"/>
      <c r="EH50" s="32"/>
      <c r="EI50" s="32"/>
      <c r="EJ50" s="32"/>
      <c r="EK50" s="5"/>
      <c r="EO50" s="2"/>
      <c r="EQ50" s="468" t="s">
        <v>1</v>
      </c>
      <c r="ER50"/>
      <c r="ES50" s="6" t="s">
        <v>330</v>
      </c>
      <c r="ET50" s="10"/>
      <c r="EU50" s="10"/>
      <c r="EV50" s="10"/>
      <c r="EW50" s="10"/>
      <c r="EX50" s="4">
        <f>6697+120</f>
        <v>6817</v>
      </c>
      <c r="EY50" s="4">
        <v>15575</v>
      </c>
      <c r="EZ50" s="4"/>
      <c r="FA50" s="4"/>
      <c r="FB50" s="4"/>
      <c r="FC50" s="4"/>
      <c r="FD50" s="4"/>
      <c r="FE50" s="4"/>
      <c r="FF50" s="4"/>
      <c r="FG50" s="4"/>
      <c r="FH50" s="10">
        <v>21764</v>
      </c>
      <c r="FI50" s="10">
        <v>15493</v>
      </c>
      <c r="FJ50" s="10"/>
      <c r="FK50" s="10">
        <v>19058</v>
      </c>
      <c r="FL50" s="10"/>
      <c r="FM50" s="10">
        <v>23199</v>
      </c>
      <c r="FN50" s="4"/>
      <c r="FO50" s="4"/>
      <c r="FP50" s="10"/>
      <c r="FQ50" s="4"/>
      <c r="FR50" s="4"/>
      <c r="FS50" s="10">
        <v>17722</v>
      </c>
      <c r="FT50" s="4"/>
      <c r="FU50" s="4"/>
      <c r="FV50" s="4"/>
      <c r="FW50" s="4"/>
      <c r="FX50" s="4"/>
      <c r="FY50" s="4"/>
      <c r="FZ50" s="10">
        <v>18179</v>
      </c>
      <c r="GA50" s="10">
        <v>22980</v>
      </c>
      <c r="GB50" s="10">
        <v>6433</v>
      </c>
      <c r="GC50" s="10"/>
      <c r="GD50" s="4"/>
      <c r="GE50" s="4"/>
      <c r="GF50" s="4">
        <v>18263</v>
      </c>
      <c r="GG50" s="4"/>
      <c r="GH50" s="4"/>
      <c r="GI50" s="4"/>
      <c r="GJ50" s="4">
        <v>17555</v>
      </c>
      <c r="GK50" s="4"/>
      <c r="GL50" s="4"/>
      <c r="GM50" s="4">
        <v>19486</v>
      </c>
      <c r="GN50" s="10"/>
      <c r="GO50" s="10">
        <v>21183</v>
      </c>
      <c r="GP50" s="4"/>
      <c r="GQ50" s="10"/>
      <c r="GR50" s="4">
        <v>23892</v>
      </c>
      <c r="GS50" s="10">
        <v>13730</v>
      </c>
      <c r="GT50" s="4">
        <v>22341</v>
      </c>
      <c r="GU50" s="10"/>
      <c r="GV50" s="4"/>
      <c r="GW50" s="10">
        <v>17202</v>
      </c>
      <c r="GX50" s="10">
        <v>23028</v>
      </c>
      <c r="GY50" s="10"/>
      <c r="GZ50" s="10"/>
      <c r="HA50" s="18">
        <v>43596</v>
      </c>
      <c r="HB50" s="4">
        <v>4000</v>
      </c>
      <c r="HC50" s="77">
        <f t="shared" si="22"/>
        <v>-5.3764032577591901E-2</v>
      </c>
      <c r="HD50" s="8">
        <f t="shared" si="29"/>
        <v>343900</v>
      </c>
      <c r="HE50" s="2"/>
      <c r="HF50" s="3" t="s">
        <v>295</v>
      </c>
      <c r="HG50" s="4">
        <v>13240</v>
      </c>
      <c r="HH50" s="4"/>
      <c r="HI50" s="4"/>
      <c r="HJ50" s="4"/>
      <c r="HK50" s="4"/>
      <c r="HL50" s="4"/>
      <c r="HM50" s="4"/>
      <c r="HN50" s="4"/>
      <c r="HO50" s="4"/>
      <c r="HP50" s="4">
        <v>18664</v>
      </c>
      <c r="HQ50" s="4"/>
      <c r="HR50" s="4"/>
      <c r="HS50" s="4"/>
      <c r="HT50" s="10">
        <v>18018</v>
      </c>
      <c r="HU50" s="10"/>
      <c r="HV50" s="4"/>
      <c r="HW50" s="4"/>
      <c r="HX50" s="4"/>
      <c r="HY50" s="4"/>
      <c r="HZ50" s="4"/>
      <c r="IA50" s="4"/>
      <c r="IB50" s="4"/>
      <c r="IC50" s="4">
        <v>17273</v>
      </c>
      <c r="ID50" s="10">
        <v>23844</v>
      </c>
      <c r="IE50" s="4"/>
      <c r="IF50" s="10"/>
      <c r="IG50" s="4"/>
      <c r="IH50" s="4"/>
      <c r="II50" s="4"/>
      <c r="IJ50" s="4"/>
      <c r="IK50" s="4"/>
      <c r="IL50" s="4"/>
      <c r="IM50" s="4"/>
      <c r="IN50" s="4"/>
      <c r="IO50" s="4"/>
      <c r="IP50" s="4"/>
      <c r="IQ50" s="4"/>
      <c r="IR50" s="4">
        <v>18755</v>
      </c>
      <c r="IS50" s="4">
        <v>18745</v>
      </c>
      <c r="IT50" s="10">
        <v>22345</v>
      </c>
      <c r="IU50" s="4"/>
      <c r="IV50" s="4"/>
      <c r="IW50" s="4"/>
      <c r="IX50" s="10">
        <v>21862</v>
      </c>
      <c r="IY50" s="4"/>
      <c r="IZ50" s="4"/>
      <c r="JA50" s="4"/>
      <c r="JB50" s="4"/>
      <c r="JC50" s="4"/>
      <c r="JD50" s="4"/>
      <c r="JE50" s="4"/>
      <c r="JF50" s="10"/>
      <c r="JG50" s="10"/>
      <c r="JH50" s="10"/>
      <c r="JI50" s="4"/>
      <c r="JJ50" s="4"/>
      <c r="JK50" s="4"/>
      <c r="JL50" s="4">
        <v>24678</v>
      </c>
      <c r="JM50" s="4"/>
      <c r="JN50" s="10"/>
      <c r="JO50" s="10"/>
      <c r="JP50" s="4"/>
      <c r="JQ50" s="4"/>
      <c r="JR50" s="4"/>
      <c r="JS50" s="4"/>
      <c r="JT50" s="4"/>
      <c r="JU50" s="10"/>
      <c r="JV50" s="4"/>
      <c r="JW50" s="4"/>
      <c r="JX50" s="4"/>
      <c r="JY50" s="4"/>
      <c r="JZ50" s="4"/>
      <c r="KA50" s="4">
        <v>14490</v>
      </c>
      <c r="KB50" s="4"/>
      <c r="KC50" s="4"/>
      <c r="KD50" s="10">
        <v>15636</v>
      </c>
      <c r="KE50" s="10">
        <v>23342</v>
      </c>
      <c r="KF50" s="10">
        <v>12238</v>
      </c>
      <c r="KG50" s="4"/>
      <c r="KH50" s="10"/>
      <c r="KI50" s="10"/>
      <c r="KJ50" s="10">
        <v>17337</v>
      </c>
      <c r="KK50" s="10">
        <v>14752</v>
      </c>
      <c r="KL50" s="4">
        <v>17726</v>
      </c>
      <c r="KM50" s="10"/>
      <c r="KN50" s="4"/>
      <c r="KO50" s="4"/>
      <c r="KP50" s="4">
        <v>19902</v>
      </c>
      <c r="KQ50" s="4"/>
      <c r="KR50" s="10"/>
      <c r="KS50" s="4">
        <v>20258</v>
      </c>
      <c r="KT50" s="4"/>
      <c r="KU50" s="4"/>
      <c r="KV50" s="4"/>
      <c r="KW50" s="4"/>
      <c r="KX50" s="18"/>
      <c r="KY50" s="31"/>
      <c r="KZ50" s="77">
        <f t="shared" si="23"/>
        <v>-2.2324790679129933E-2</v>
      </c>
      <c r="LA50" s="8">
        <f t="shared" si="30"/>
        <v>353105</v>
      </c>
      <c r="LB50" s="2"/>
      <c r="LC50" s="43"/>
      <c r="MO50" s="172"/>
      <c r="NO50" s="77"/>
      <c r="NP50" s="63"/>
      <c r="NQ50"/>
      <c r="NR50" s="77" t="e">
        <f t="shared" si="24"/>
        <v>#DIV/0!</v>
      </c>
      <c r="NS50" s="8">
        <f t="shared" si="42"/>
        <v>0</v>
      </c>
      <c r="NT50" s="2"/>
      <c r="NU50" s="3" t="s">
        <v>295</v>
      </c>
      <c r="NV50" s="4">
        <v>5</v>
      </c>
      <c r="NW50" s="4"/>
      <c r="NX50" s="4"/>
      <c r="NY50" s="4"/>
      <c r="NZ50" s="4"/>
      <c r="OA50" s="4"/>
      <c r="OB50" s="4"/>
      <c r="OC50" s="4">
        <v>23826</v>
      </c>
      <c r="OD50" s="4"/>
      <c r="OE50" s="77">
        <f t="shared" si="25"/>
        <v>-7.9173106646058727E-2</v>
      </c>
      <c r="OF50" s="8">
        <f t="shared" si="43"/>
        <v>23831</v>
      </c>
      <c r="OG50" s="2"/>
      <c r="OJ50" s="40"/>
      <c r="OK50" s="40"/>
      <c r="OL50" s="40"/>
      <c r="OM50" s="40"/>
      <c r="ON50" s="40"/>
      <c r="OO50" s="40"/>
      <c r="OQ50" s="40"/>
      <c r="OR50" s="77"/>
      <c r="OS50" s="35"/>
      <c r="OT50" s="37"/>
      <c r="OU50" s="126">
        <f t="shared" si="31"/>
        <v>776826</v>
      </c>
      <c r="OV50" s="71">
        <f t="shared" si="44"/>
        <v>1.6129968088192631E-3</v>
      </c>
      <c r="OW50" s="139">
        <f>IF(A50="","",SUM(Z$17:Z50))</f>
        <v>20000</v>
      </c>
      <c r="OX50" s="139">
        <f t="shared" si="32"/>
        <v>796826</v>
      </c>
      <c r="OY50" s="132">
        <f t="shared" si="33"/>
        <v>0.11664557609492299</v>
      </c>
      <c r="OZ50" s="140">
        <f t="shared" si="34"/>
        <v>697005</v>
      </c>
      <c r="PA50" s="84">
        <f t="shared" si="47"/>
        <v>-3.8093700317965024E-2</v>
      </c>
      <c r="PB50" s="130">
        <f>IF(A50="","",SUM(HB$17:HB50)+SUM(KY$17:KY50))</f>
        <v>82567.11</v>
      </c>
      <c r="PC50" s="131">
        <f t="shared" si="35"/>
        <v>779572.11</v>
      </c>
      <c r="PD50" s="132">
        <f t="shared" si="36"/>
        <v>0.18023819076153519</v>
      </c>
      <c r="PE50" s="133"/>
      <c r="PF50" s="134"/>
      <c r="PG50" s="133"/>
      <c r="PH50" s="134"/>
      <c r="PI50" s="135">
        <f t="shared" si="37"/>
        <v>1473831</v>
      </c>
      <c r="PJ50" s="136">
        <f t="shared" si="10"/>
        <v>-1.7565856965450214E-2</v>
      </c>
      <c r="PK50" s="123"/>
      <c r="PL50" s="137">
        <f t="shared" si="38"/>
        <v>102567.11</v>
      </c>
      <c r="PM50" s="9">
        <f t="shared" si="39"/>
        <v>1576398.1099999999</v>
      </c>
      <c r="PN50" s="138">
        <f t="shared" si="40"/>
        <v>0.14721391300550893</v>
      </c>
      <c r="PO50" s="86">
        <f>IF(PI50="","",MAX(PI$15:PI50))</f>
        <v>1516789</v>
      </c>
      <c r="PP50" s="113">
        <f t="shared" si="11"/>
        <v>-2.9147168162428391E-2</v>
      </c>
      <c r="PQ50" s="41"/>
      <c r="PR50" s="302"/>
    </row>
    <row r="51" spans="1:434" s="1" customFormat="1" ht="15" customHeight="1" x14ac:dyDescent="0.45">
      <c r="A51" s="18">
        <v>43648</v>
      </c>
      <c r="B51" s="7" t="s">
        <v>295</v>
      </c>
      <c r="C51" s="4">
        <v>7823</v>
      </c>
      <c r="D51" s="10"/>
      <c r="E51" s="10"/>
      <c r="F51" s="10"/>
      <c r="G51" s="4"/>
      <c r="H51" s="4"/>
      <c r="I51" s="4"/>
      <c r="J51" s="4"/>
      <c r="K51" s="4"/>
      <c r="L51" s="4"/>
      <c r="M51" s="4"/>
      <c r="N51" s="4"/>
      <c r="O51" s="10"/>
      <c r="P51" s="4"/>
      <c r="Q51" s="4"/>
      <c r="R51" s="4">
        <v>17742</v>
      </c>
      <c r="S51" s="4">
        <v>23073</v>
      </c>
      <c r="T51" s="4"/>
      <c r="U51" s="10">
        <v>52883</v>
      </c>
      <c r="V51" s="10"/>
      <c r="W51" s="10"/>
      <c r="X51" s="4"/>
      <c r="Y51" s="18">
        <f t="shared" si="45"/>
        <v>43655</v>
      </c>
      <c r="Z51" s="4"/>
      <c r="AA51" s="77">
        <f t="shared" si="21"/>
        <v>2.1266108020561933E-2</v>
      </c>
      <c r="AB51" s="8">
        <f t="shared" si="27"/>
        <v>101521</v>
      </c>
      <c r="AC51" s="2"/>
      <c r="AD51" s="7" t="s">
        <v>295</v>
      </c>
      <c r="AE51" s="4">
        <v>74522</v>
      </c>
      <c r="AF51" s="4">
        <v>376119</v>
      </c>
      <c r="AG51" s="4"/>
      <c r="AH51" s="4"/>
      <c r="AJ51" s="4"/>
      <c r="AK51" s="4"/>
      <c r="AL51" s="4"/>
      <c r="AM51" s="4"/>
      <c r="AO51" s="4"/>
      <c r="AP51" s="10"/>
      <c r="AQ51" s="4"/>
      <c r="AR51" s="4"/>
      <c r="AS51" s="4"/>
      <c r="AT51" s="4"/>
      <c r="AU51" s="4"/>
      <c r="AW51" s="4"/>
      <c r="AX51" s="4">
        <v>12169</v>
      </c>
      <c r="AY51" s="4"/>
      <c r="AZ51" s="4"/>
      <c r="BA51" s="4"/>
      <c r="BB51" s="4"/>
      <c r="BC51" s="4"/>
      <c r="BD51" s="4"/>
      <c r="BE51" s="4"/>
      <c r="BF51" s="4"/>
      <c r="BH51" s="4"/>
      <c r="BI51" s="4"/>
      <c r="BJ51" s="4"/>
      <c r="BK51" s="4"/>
      <c r="BL51" s="4"/>
      <c r="BM51" s="4">
        <v>19458</v>
      </c>
      <c r="BN51" s="4">
        <v>19545</v>
      </c>
      <c r="BO51" s="4"/>
      <c r="BP51" s="4"/>
      <c r="BQ51" s="4"/>
      <c r="BS51" s="10"/>
      <c r="BT51" s="4"/>
      <c r="BU51" s="4"/>
      <c r="BV51" s="4"/>
      <c r="BW51" s="4"/>
      <c r="CA51" s="4">
        <v>100484</v>
      </c>
      <c r="CB51" s="4"/>
      <c r="CC51" s="4">
        <v>18637</v>
      </c>
      <c r="CD51" s="4"/>
      <c r="CE51" s="4"/>
      <c r="CF51" s="4"/>
      <c r="CG51" s="4"/>
      <c r="CH51" s="4"/>
      <c r="CI51" s="4"/>
      <c r="CJ51" s="10"/>
      <c r="CK51" s="4"/>
      <c r="CL51" s="10"/>
      <c r="CN51" s="4"/>
      <c r="CO51" s="10"/>
      <c r="CP51" s="4"/>
      <c r="CQ51" s="4">
        <v>17690</v>
      </c>
      <c r="CR51" s="10"/>
      <c r="CS51" s="4"/>
      <c r="CT51" s="4"/>
      <c r="CU51" s="4">
        <v>20535</v>
      </c>
      <c r="CV51" s="4"/>
      <c r="CW51" s="4"/>
      <c r="CX51" s="4"/>
      <c r="CY51" s="77">
        <f t="shared" si="46"/>
        <v>8.5237183057216472E-3</v>
      </c>
      <c r="CZ51" s="8">
        <f t="shared" si="28"/>
        <v>659159</v>
      </c>
      <c r="DA51" s="2"/>
      <c r="DH51" s="4"/>
      <c r="DJ51" s="4"/>
      <c r="DX51" s="2"/>
      <c r="DY51" s="32"/>
      <c r="DZ51" s="4">
        <v>5</v>
      </c>
      <c r="EA51" s="32"/>
      <c r="EB51" s="32"/>
      <c r="EC51" s="32"/>
      <c r="ED51" s="32"/>
      <c r="EE51" s="4"/>
      <c r="EF51" s="4"/>
      <c r="EG51" s="32"/>
      <c r="EH51" s="32"/>
      <c r="EI51" s="32"/>
      <c r="EJ51" s="32"/>
      <c r="EK51" s="5"/>
      <c r="EO51" s="2"/>
      <c r="EQ51" s="468" t="s">
        <v>1</v>
      </c>
      <c r="ER51"/>
      <c r="ES51" s="6" t="s">
        <v>331</v>
      </c>
      <c r="ET51" s="10"/>
      <c r="EU51" s="10"/>
      <c r="EV51" s="10"/>
      <c r="EW51" s="10"/>
      <c r="EX51" s="4">
        <f>3567+2709</f>
        <v>6276</v>
      </c>
      <c r="EY51" s="4">
        <v>17193</v>
      </c>
      <c r="EZ51" s="4"/>
      <c r="FA51" s="4"/>
      <c r="FB51" s="4"/>
      <c r="FC51" s="4"/>
      <c r="FD51" s="4"/>
      <c r="FE51" s="4"/>
      <c r="FF51" s="4"/>
      <c r="FG51" s="4"/>
      <c r="FH51" s="10">
        <v>22232</v>
      </c>
      <c r="FI51" s="10">
        <v>16005</v>
      </c>
      <c r="FJ51" s="10"/>
      <c r="FK51" s="10">
        <v>19418</v>
      </c>
      <c r="FL51" s="10"/>
      <c r="FM51" s="10">
        <v>20964</v>
      </c>
      <c r="FN51" s="4"/>
      <c r="FO51" s="4"/>
      <c r="FP51" s="10"/>
      <c r="FQ51" s="4"/>
      <c r="FR51" s="4"/>
      <c r="FS51" s="10">
        <v>18734</v>
      </c>
      <c r="FT51" s="4"/>
      <c r="FU51" s="4"/>
      <c r="FV51" s="4"/>
      <c r="FW51" s="4"/>
      <c r="FX51" s="4"/>
      <c r="FY51" s="4"/>
      <c r="FZ51" s="10">
        <v>19490</v>
      </c>
      <c r="GA51" s="10">
        <v>24073</v>
      </c>
      <c r="GB51" s="10">
        <v>6709</v>
      </c>
      <c r="GC51" s="10"/>
      <c r="GD51" s="4"/>
      <c r="GE51" s="4"/>
      <c r="GF51" s="4">
        <v>20402</v>
      </c>
      <c r="GG51" s="4"/>
      <c r="GH51" s="4"/>
      <c r="GI51" s="4"/>
      <c r="GJ51" s="4">
        <v>17782</v>
      </c>
      <c r="GK51" s="4"/>
      <c r="GL51" s="4"/>
      <c r="GM51" s="4">
        <v>20383</v>
      </c>
      <c r="GN51" s="10"/>
      <c r="GO51" s="10">
        <v>21477</v>
      </c>
      <c r="GP51" s="4"/>
      <c r="GQ51" s="10"/>
      <c r="GR51" s="4">
        <v>23999</v>
      </c>
      <c r="GS51" s="10">
        <v>14372</v>
      </c>
      <c r="GT51" s="4">
        <v>23073</v>
      </c>
      <c r="GU51" s="10"/>
      <c r="GV51" s="4"/>
      <c r="GW51" s="10">
        <v>18313</v>
      </c>
      <c r="GX51" s="10">
        <v>23012</v>
      </c>
      <c r="GY51" s="10"/>
      <c r="GZ51" s="10"/>
      <c r="HA51" s="18">
        <v>43655</v>
      </c>
      <c r="HB51" s="4">
        <v>4864.22</v>
      </c>
      <c r="HC51" s="77">
        <f t="shared" si="22"/>
        <v>2.9098575167199766E-2</v>
      </c>
      <c r="HD51" s="8">
        <f t="shared" si="29"/>
        <v>353907</v>
      </c>
      <c r="HE51" s="2"/>
      <c r="HF51" s="3" t="s">
        <v>332</v>
      </c>
      <c r="HG51" s="4">
        <f>11681+165</f>
        <v>11846</v>
      </c>
      <c r="HH51" s="4"/>
      <c r="HI51" s="4"/>
      <c r="HJ51" s="4"/>
      <c r="HK51" s="4"/>
      <c r="HL51" s="4"/>
      <c r="HM51" s="4"/>
      <c r="HN51" s="4"/>
      <c r="HO51" s="4"/>
      <c r="HP51" s="4">
        <v>18212</v>
      </c>
      <c r="HQ51" s="4"/>
      <c r="HR51" s="4"/>
      <c r="HS51" s="4"/>
      <c r="HT51" s="10">
        <v>18560</v>
      </c>
      <c r="HU51" s="10"/>
      <c r="HV51" s="4"/>
      <c r="HW51" s="4"/>
      <c r="HX51" s="4"/>
      <c r="HY51" s="4"/>
      <c r="HZ51" s="4"/>
      <c r="IA51" s="4"/>
      <c r="IB51" s="4"/>
      <c r="IC51" s="4">
        <v>17871</v>
      </c>
      <c r="ID51" s="10">
        <v>21252</v>
      </c>
      <c r="IE51" s="4"/>
      <c r="IF51" s="10"/>
      <c r="IG51" s="4"/>
      <c r="IH51" s="4"/>
      <c r="II51" s="4"/>
      <c r="IJ51" s="4"/>
      <c r="IK51" s="4"/>
      <c r="IL51" s="4"/>
      <c r="IM51" s="4"/>
      <c r="IN51" s="4"/>
      <c r="IO51" s="4"/>
      <c r="IP51" s="4"/>
      <c r="IQ51" s="4"/>
      <c r="IR51" s="4">
        <v>19458</v>
      </c>
      <c r="IS51" s="4">
        <v>19545</v>
      </c>
      <c r="IT51" s="10">
        <v>24020</v>
      </c>
      <c r="IU51" s="4"/>
      <c r="IV51" s="4"/>
      <c r="IW51" s="4"/>
      <c r="IX51" s="10">
        <v>22746</v>
      </c>
      <c r="IY51" s="4"/>
      <c r="IZ51" s="4"/>
      <c r="JA51" s="4"/>
      <c r="JB51" s="4"/>
      <c r="JC51" s="4"/>
      <c r="JD51" s="4"/>
      <c r="JE51" s="4"/>
      <c r="JF51" s="10">
        <v>14317</v>
      </c>
      <c r="JG51" s="10"/>
      <c r="JH51" s="10"/>
      <c r="JI51" s="4"/>
      <c r="JJ51" s="4"/>
      <c r="JK51" s="4"/>
      <c r="JL51" s="4">
        <v>21230</v>
      </c>
      <c r="JM51" s="4"/>
      <c r="JN51" s="10"/>
      <c r="JO51" s="10"/>
      <c r="JP51" s="4"/>
      <c r="JQ51" s="4"/>
      <c r="JR51" s="4"/>
      <c r="JS51" s="4"/>
      <c r="JT51" s="4"/>
      <c r="JU51" s="10"/>
      <c r="JV51" s="4"/>
      <c r="JW51" s="4"/>
      <c r="JX51" s="4"/>
      <c r="JY51" s="4"/>
      <c r="JZ51" s="4"/>
      <c r="KA51" s="4">
        <v>14599</v>
      </c>
      <c r="KB51" s="4"/>
      <c r="KC51" s="4"/>
      <c r="KD51" s="10">
        <v>16269</v>
      </c>
      <c r="KE51" s="10">
        <v>19923</v>
      </c>
      <c r="KF51" s="10">
        <v>12640</v>
      </c>
      <c r="KG51" s="4"/>
      <c r="KH51" s="10"/>
      <c r="KI51" s="10"/>
      <c r="KJ51" s="10">
        <v>18104</v>
      </c>
      <c r="KK51" s="10">
        <v>16206</v>
      </c>
      <c r="KL51" s="4">
        <v>17690</v>
      </c>
      <c r="KM51" s="10"/>
      <c r="KN51" s="4"/>
      <c r="KO51" s="4"/>
      <c r="KP51" s="4">
        <v>20535</v>
      </c>
      <c r="KQ51" s="4"/>
      <c r="KR51" s="10"/>
      <c r="KS51" s="4">
        <v>20948</v>
      </c>
      <c r="KT51" s="4"/>
      <c r="KU51" s="4"/>
      <c r="KV51" s="4"/>
      <c r="KW51" s="4"/>
      <c r="KX51" s="18"/>
      <c r="KY51" s="31"/>
      <c r="KZ51" s="77">
        <f t="shared" si="23"/>
        <v>3.6436753940046161E-2</v>
      </c>
      <c r="LA51" s="8">
        <f t="shared" si="30"/>
        <v>365971</v>
      </c>
      <c r="LB51" s="2"/>
      <c r="LC51" s="43"/>
      <c r="MO51" s="172"/>
      <c r="NO51" s="77"/>
      <c r="NP51" s="63"/>
      <c r="NQ51"/>
      <c r="NR51" s="77" t="e">
        <f t="shared" si="24"/>
        <v>#DIV/0!</v>
      </c>
      <c r="NS51" s="8">
        <f t="shared" si="42"/>
        <v>0</v>
      </c>
      <c r="NT51" s="2"/>
      <c r="NU51" s="3" t="s">
        <v>295</v>
      </c>
      <c r="NV51" s="4">
        <v>5</v>
      </c>
      <c r="NW51" s="4"/>
      <c r="NX51" s="4"/>
      <c r="NY51" s="4"/>
      <c r="NZ51" s="4"/>
      <c r="OA51" s="4"/>
      <c r="OB51" s="4"/>
      <c r="OC51" s="4">
        <v>25188</v>
      </c>
      <c r="OD51" s="4"/>
      <c r="OE51" s="77">
        <f t="shared" si="25"/>
        <v>5.71524484914607E-2</v>
      </c>
      <c r="OF51" s="8">
        <f t="shared" si="43"/>
        <v>25193</v>
      </c>
      <c r="OG51" s="2"/>
      <c r="OJ51" s="40"/>
      <c r="OK51" s="40"/>
      <c r="OL51" s="40"/>
      <c r="OM51" s="40"/>
      <c r="ON51" s="40"/>
      <c r="OO51" s="40"/>
      <c r="OQ51" s="40"/>
      <c r="OR51" s="77"/>
      <c r="OS51" s="35"/>
      <c r="OT51" s="37"/>
      <c r="OU51" s="126">
        <f t="shared" si="31"/>
        <v>785873</v>
      </c>
      <c r="OV51" s="71">
        <f t="shared" si="44"/>
        <v>1.164610865238805E-2</v>
      </c>
      <c r="OW51" s="139">
        <f>IF(A51="","",SUM(Z$17:Z51))</f>
        <v>20000</v>
      </c>
      <c r="OX51" s="139">
        <f t="shared" si="32"/>
        <v>805873</v>
      </c>
      <c r="OY51" s="132">
        <f t="shared" si="33"/>
        <v>0.12932374237831581</v>
      </c>
      <c r="OZ51" s="140">
        <f t="shared" si="34"/>
        <v>719878</v>
      </c>
      <c r="PA51" s="84">
        <f t="shared" si="47"/>
        <v>3.2816120400857955E-2</v>
      </c>
      <c r="PB51" s="130">
        <f>IF(A51="","",SUM(HB$17:HB51)+SUM(KY$17:KY51))</f>
        <v>87431.33</v>
      </c>
      <c r="PC51" s="131">
        <f t="shared" si="35"/>
        <v>807309.33</v>
      </c>
      <c r="PD51" s="132">
        <f t="shared" si="36"/>
        <v>0.22223113269676506</v>
      </c>
      <c r="PE51" s="133"/>
      <c r="PF51" s="134"/>
      <c r="PG51" s="133"/>
      <c r="PH51" s="134"/>
      <c r="PI51" s="135">
        <f t="shared" si="37"/>
        <v>1505751</v>
      </c>
      <c r="PJ51" s="136">
        <f t="shared" si="10"/>
        <v>2.1657842724165797E-2</v>
      </c>
      <c r="PK51" s="123"/>
      <c r="PL51" s="137">
        <f t="shared" si="38"/>
        <v>107431.33</v>
      </c>
      <c r="PM51" s="9">
        <f t="shared" si="39"/>
        <v>1613182.33</v>
      </c>
      <c r="PN51" s="138">
        <f t="shared" si="40"/>
        <v>0.17398340016447014</v>
      </c>
      <c r="PO51" s="86">
        <f>IF(PI51="","",MAX(PI$15:PI51))</f>
        <v>1516789</v>
      </c>
      <c r="PP51" s="113">
        <f t="shared" si="11"/>
        <v>-7.3305612946629288E-3</v>
      </c>
      <c r="PQ51" s="41"/>
      <c r="PR51" s="302"/>
    </row>
    <row r="52" spans="1:434" s="1" customFormat="1" ht="15" customHeight="1" x14ac:dyDescent="0.45">
      <c r="A52" s="18">
        <v>43684</v>
      </c>
      <c r="B52" s="7" t="s">
        <v>295</v>
      </c>
      <c r="C52" s="4">
        <v>7966</v>
      </c>
      <c r="D52" s="10"/>
      <c r="E52" s="10"/>
      <c r="F52" s="10"/>
      <c r="G52" s="4"/>
      <c r="H52" s="4"/>
      <c r="I52" s="4"/>
      <c r="J52" s="4"/>
      <c r="K52" s="4"/>
      <c r="L52" s="4"/>
      <c r="M52" s="4"/>
      <c r="N52" s="4"/>
      <c r="O52" s="10"/>
      <c r="P52" s="4"/>
      <c r="Q52" s="4"/>
      <c r="R52" s="4">
        <v>16550</v>
      </c>
      <c r="S52" s="4">
        <v>21665</v>
      </c>
      <c r="T52" s="4"/>
      <c r="U52" s="10">
        <v>53382</v>
      </c>
      <c r="V52" s="10"/>
      <c r="W52" s="10"/>
      <c r="X52" s="4"/>
      <c r="Y52" s="18">
        <f t="shared" si="45"/>
        <v>43686</v>
      </c>
      <c r="Z52" s="4"/>
      <c r="AA52" s="77">
        <f t="shared" si="21"/>
        <v>-1.9286650052698456E-2</v>
      </c>
      <c r="AB52" s="8">
        <f t="shared" si="27"/>
        <v>99563</v>
      </c>
      <c r="AC52" s="2"/>
      <c r="AD52" s="7" t="s">
        <v>295</v>
      </c>
      <c r="AE52" s="4">
        <v>75540</v>
      </c>
      <c r="AF52" s="4">
        <v>378451</v>
      </c>
      <c r="AG52" s="4"/>
      <c r="AH52" s="4"/>
      <c r="AJ52" s="4"/>
      <c r="AK52" s="4"/>
      <c r="AL52" s="4"/>
      <c r="AM52" s="4"/>
      <c r="AO52" s="4"/>
      <c r="AP52" s="10"/>
      <c r="AQ52" s="4"/>
      <c r="AR52" s="4"/>
      <c r="AS52" s="4"/>
      <c r="AT52" s="4"/>
      <c r="AU52" s="4"/>
      <c r="AW52" s="4"/>
      <c r="AX52" s="4">
        <v>12131</v>
      </c>
      <c r="AY52" s="4"/>
      <c r="AZ52" s="4"/>
      <c r="BA52" s="4"/>
      <c r="BB52" s="4"/>
      <c r="BC52" s="4"/>
      <c r="BD52" s="4"/>
      <c r="BE52" s="4"/>
      <c r="BF52" s="4"/>
      <c r="BH52" s="4"/>
      <c r="BI52" s="4"/>
      <c r="BJ52" s="4"/>
      <c r="BK52" s="4"/>
      <c r="BL52" s="4"/>
      <c r="BM52" s="4">
        <v>18630</v>
      </c>
      <c r="BN52" s="4">
        <v>18758</v>
      </c>
      <c r="BO52" s="4"/>
      <c r="BP52" s="4"/>
      <c r="BQ52" s="4"/>
      <c r="BS52" s="10"/>
      <c r="BT52" s="4"/>
      <c r="BU52" s="4"/>
      <c r="BV52" s="4"/>
      <c r="BW52" s="4"/>
      <c r="CA52" s="4">
        <v>100329</v>
      </c>
      <c r="CB52" s="4"/>
      <c r="CC52" s="4">
        <v>18784</v>
      </c>
      <c r="CD52" s="4"/>
      <c r="CE52" s="4"/>
      <c r="CF52" s="4"/>
      <c r="CG52" s="4"/>
      <c r="CH52" s="4"/>
      <c r="CI52" s="4"/>
      <c r="CJ52" s="10"/>
      <c r="CK52" s="4"/>
      <c r="CL52" s="10"/>
      <c r="CN52" s="4"/>
      <c r="CO52" s="10"/>
      <c r="CP52" s="4"/>
      <c r="CQ52" s="4">
        <v>17662</v>
      </c>
      <c r="CR52" s="10"/>
      <c r="CS52" s="4"/>
      <c r="CT52" s="4"/>
      <c r="CU52" s="4">
        <v>21031</v>
      </c>
      <c r="CV52" s="4"/>
      <c r="CW52" s="4"/>
      <c r="CX52" s="4"/>
      <c r="CY52" s="77">
        <f t="shared" si="46"/>
        <v>3.2723515874015221E-3</v>
      </c>
      <c r="CZ52" s="8">
        <f t="shared" si="28"/>
        <v>661316</v>
      </c>
      <c r="DA52" s="2"/>
      <c r="DH52" s="4"/>
      <c r="DJ52" s="4"/>
      <c r="DX52" s="2"/>
      <c r="DY52" s="32"/>
      <c r="DZ52" s="4">
        <v>5</v>
      </c>
      <c r="EA52" s="32"/>
      <c r="EB52" s="32"/>
      <c r="EC52" s="32"/>
      <c r="ED52" s="32"/>
      <c r="EE52" s="4"/>
      <c r="EF52" s="4"/>
      <c r="EG52" s="32"/>
      <c r="EH52" s="32"/>
      <c r="EI52" s="32"/>
      <c r="EJ52" s="32"/>
      <c r="EK52" s="5"/>
      <c r="EO52" s="2"/>
      <c r="EQ52" s="468" t="s">
        <v>1</v>
      </c>
      <c r="ER52"/>
      <c r="ES52" s="6" t="s">
        <v>317</v>
      </c>
      <c r="ET52" s="10"/>
      <c r="EU52" s="10"/>
      <c r="EV52" s="10"/>
      <c r="EW52" s="10"/>
      <c r="EX52" s="4">
        <f>5865+105</f>
        <v>5970</v>
      </c>
      <c r="EY52" s="4">
        <v>16625</v>
      </c>
      <c r="EZ52" s="4"/>
      <c r="FA52" s="4"/>
      <c r="FB52" s="4"/>
      <c r="FC52" s="4"/>
      <c r="FD52" s="4"/>
      <c r="FE52" s="4"/>
      <c r="FF52" s="4"/>
      <c r="FG52" s="4"/>
      <c r="FH52" s="10">
        <v>20680</v>
      </c>
      <c r="FI52" s="10">
        <v>15440</v>
      </c>
      <c r="FJ52" s="10"/>
      <c r="FK52" s="10">
        <v>18565</v>
      </c>
      <c r="FL52" s="10"/>
      <c r="FM52" s="10">
        <v>21762</v>
      </c>
      <c r="FN52" s="4"/>
      <c r="FO52" s="4"/>
      <c r="FP52" s="10"/>
      <c r="FQ52" s="4"/>
      <c r="FR52" s="4"/>
      <c r="FS52" s="10">
        <v>19821</v>
      </c>
      <c r="FT52" s="4"/>
      <c r="FU52" s="4"/>
      <c r="FV52" s="4"/>
      <c r="FW52" s="4"/>
      <c r="FX52" s="4"/>
      <c r="FY52" s="4"/>
      <c r="FZ52" s="10">
        <v>18354</v>
      </c>
      <c r="GA52" s="10">
        <v>23656</v>
      </c>
      <c r="GB52" s="10">
        <v>6714</v>
      </c>
      <c r="GC52" s="10"/>
      <c r="GD52" s="4"/>
      <c r="GE52" s="4"/>
      <c r="GF52" s="4">
        <v>18666</v>
      </c>
      <c r="GG52" s="4"/>
      <c r="GH52" s="4"/>
      <c r="GI52" s="4"/>
      <c r="GJ52" s="4">
        <v>17908</v>
      </c>
      <c r="GK52" s="4"/>
      <c r="GL52" s="4"/>
      <c r="GM52" s="4">
        <v>22723</v>
      </c>
      <c r="GN52" s="10"/>
      <c r="GO52" s="10">
        <v>20430</v>
      </c>
      <c r="GP52" s="4"/>
      <c r="GQ52" s="10"/>
      <c r="GR52" s="4">
        <v>19846</v>
      </c>
      <c r="GS52" s="10">
        <v>15794</v>
      </c>
      <c r="GT52" s="4">
        <v>21665</v>
      </c>
      <c r="GU52" s="10"/>
      <c r="GV52" s="4"/>
      <c r="GW52" s="10">
        <v>16764</v>
      </c>
      <c r="GX52" s="10">
        <v>21948</v>
      </c>
      <c r="GY52" s="10"/>
      <c r="GZ52" s="10"/>
      <c r="HA52" s="18">
        <v>43686</v>
      </c>
      <c r="HB52" s="4">
        <v>4000</v>
      </c>
      <c r="HC52" s="77">
        <f t="shared" si="22"/>
        <v>-2.9883556979658499E-2</v>
      </c>
      <c r="HD52" s="8">
        <f t="shared" si="29"/>
        <v>343331</v>
      </c>
      <c r="HE52" s="2"/>
      <c r="HF52" s="3" t="s">
        <v>295</v>
      </c>
      <c r="HG52" s="4">
        <v>11867</v>
      </c>
      <c r="HH52" s="4"/>
      <c r="HI52" s="4"/>
      <c r="HJ52" s="4"/>
      <c r="HK52" s="4"/>
      <c r="HL52" s="4"/>
      <c r="HM52" s="4"/>
      <c r="HN52" s="4"/>
      <c r="HO52" s="4"/>
      <c r="HP52" s="4">
        <v>18296</v>
      </c>
      <c r="HQ52" s="4"/>
      <c r="HR52" s="4"/>
      <c r="HS52" s="4"/>
      <c r="HT52" s="10">
        <v>17355</v>
      </c>
      <c r="HU52" s="10"/>
      <c r="HV52" s="4"/>
      <c r="HW52" s="4"/>
      <c r="HX52" s="4"/>
      <c r="HY52" s="4"/>
      <c r="HZ52" s="4"/>
      <c r="IA52" s="4"/>
      <c r="IB52" s="4"/>
      <c r="IC52" s="4">
        <v>17166</v>
      </c>
      <c r="ID52" s="10">
        <v>20189</v>
      </c>
      <c r="IE52" s="4"/>
      <c r="IF52" s="10"/>
      <c r="IG52" s="4"/>
      <c r="IH52" s="4"/>
      <c r="II52" s="4"/>
      <c r="IJ52" s="4"/>
      <c r="IK52" s="4"/>
      <c r="IL52" s="4"/>
      <c r="IM52" s="4"/>
      <c r="IN52" s="4"/>
      <c r="IO52" s="4"/>
      <c r="IP52" s="4"/>
      <c r="IQ52" s="4"/>
      <c r="IR52" s="4">
        <v>18630</v>
      </c>
      <c r="IS52" s="4">
        <v>18758</v>
      </c>
      <c r="IT52" s="10">
        <v>23165</v>
      </c>
      <c r="IU52" s="4"/>
      <c r="IV52" s="4"/>
      <c r="IW52" s="4"/>
      <c r="IX52" s="10">
        <v>21418</v>
      </c>
      <c r="IY52" s="4"/>
      <c r="IZ52" s="4"/>
      <c r="JA52" s="4"/>
      <c r="JB52" s="4"/>
      <c r="JC52" s="4"/>
      <c r="JD52" s="4"/>
      <c r="JE52" s="4"/>
      <c r="JF52" s="10">
        <v>12455</v>
      </c>
      <c r="JG52" s="10"/>
      <c r="JH52" s="10"/>
      <c r="JI52" s="4"/>
      <c r="JJ52" s="4"/>
      <c r="JK52" s="4"/>
      <c r="JL52" s="4">
        <v>20839</v>
      </c>
      <c r="JM52" s="4"/>
      <c r="JN52" s="10"/>
      <c r="JO52" s="10"/>
      <c r="JP52" s="4"/>
      <c r="JQ52" s="4"/>
      <c r="JR52" s="4"/>
      <c r="JS52" s="4"/>
      <c r="JT52" s="4"/>
      <c r="JU52" s="10"/>
      <c r="JV52" s="4"/>
      <c r="JW52" s="4"/>
      <c r="JX52" s="4"/>
      <c r="JY52" s="4"/>
      <c r="JZ52" s="4"/>
      <c r="KA52" s="4">
        <v>14209</v>
      </c>
      <c r="KB52" s="4"/>
      <c r="KC52" s="4"/>
      <c r="KD52" s="10">
        <v>15494</v>
      </c>
      <c r="KE52" s="10">
        <v>19631</v>
      </c>
      <c r="KF52" s="10">
        <v>11423</v>
      </c>
      <c r="KG52" s="4"/>
      <c r="KH52" s="10"/>
      <c r="KI52" s="10"/>
      <c r="KJ52" s="10">
        <v>17270</v>
      </c>
      <c r="KK52" s="10">
        <v>15054</v>
      </c>
      <c r="KL52" s="4">
        <v>17662</v>
      </c>
      <c r="KM52" s="10"/>
      <c r="KN52" s="4"/>
      <c r="KO52" s="4"/>
      <c r="KP52" s="4">
        <v>21031</v>
      </c>
      <c r="KQ52" s="4"/>
      <c r="KR52" s="10"/>
      <c r="KS52" s="4">
        <v>19830</v>
      </c>
      <c r="KT52" s="4"/>
      <c r="KU52" s="4"/>
      <c r="KV52" s="4"/>
      <c r="KW52" s="4"/>
      <c r="KX52" s="18">
        <v>43655</v>
      </c>
      <c r="KY52" s="31">
        <v>911.17</v>
      </c>
      <c r="KZ52" s="77">
        <f t="shared" si="23"/>
        <v>-3.8880129846353945E-2</v>
      </c>
      <c r="LA52" s="8">
        <f t="shared" si="30"/>
        <v>351742</v>
      </c>
      <c r="LB52" s="2"/>
      <c r="LC52" s="43"/>
      <c r="MO52" s="172"/>
      <c r="NO52" s="77"/>
      <c r="NP52" s="63"/>
      <c r="NQ52"/>
      <c r="NR52" s="77" t="e">
        <f t="shared" si="24"/>
        <v>#DIV/0!</v>
      </c>
      <c r="NS52" s="8">
        <f t="shared" si="42"/>
        <v>0</v>
      </c>
      <c r="NT52" s="2"/>
      <c r="NU52" s="3" t="s">
        <v>295</v>
      </c>
      <c r="NV52" s="4">
        <v>5</v>
      </c>
      <c r="NW52" s="4"/>
      <c r="NX52" s="4"/>
      <c r="NY52" s="4"/>
      <c r="NZ52" s="4"/>
      <c r="OA52" s="4"/>
      <c r="OB52" s="4"/>
      <c r="OC52" s="4">
        <v>23444</v>
      </c>
      <c r="OD52" s="4"/>
      <c r="OE52" s="77">
        <f t="shared" si="25"/>
        <v>-6.9225578533719689E-2</v>
      </c>
      <c r="OF52" s="8">
        <f t="shared" si="43"/>
        <v>23449</v>
      </c>
      <c r="OG52" s="2"/>
      <c r="OJ52" s="40"/>
      <c r="OK52" s="40"/>
      <c r="OL52" s="40"/>
      <c r="OM52" s="40"/>
      <c r="ON52" s="40"/>
      <c r="OO52" s="40"/>
      <c r="OQ52" s="40"/>
      <c r="OR52" s="77"/>
      <c r="OS52" s="35"/>
      <c r="OT52" s="37"/>
      <c r="OU52" s="126">
        <f t="shared" si="31"/>
        <v>784328</v>
      </c>
      <c r="OV52" s="71">
        <f t="shared" si="44"/>
        <v>-1.9659665111283883E-3</v>
      </c>
      <c r="OW52" s="139">
        <f>IF(A52="","",SUM(Z$17:Z52))</f>
        <v>20000</v>
      </c>
      <c r="OX52" s="139">
        <f t="shared" si="32"/>
        <v>804328</v>
      </c>
      <c r="OY52" s="132">
        <f t="shared" si="33"/>
        <v>0.12715863052821721</v>
      </c>
      <c r="OZ52" s="140">
        <f t="shared" si="34"/>
        <v>695073</v>
      </c>
      <c r="PA52" s="84">
        <f t="shared" si="47"/>
        <v>-3.4457227474655426E-2</v>
      </c>
      <c r="PB52" s="130">
        <f>IF(A52="","",SUM(HB$17:HB52)+SUM(KY$17:KY52))</f>
        <v>92342.5</v>
      </c>
      <c r="PC52" s="131">
        <f t="shared" si="35"/>
        <v>787415.5</v>
      </c>
      <c r="PD52" s="132">
        <f t="shared" si="36"/>
        <v>0.19211274130572684</v>
      </c>
      <c r="PE52" s="133"/>
      <c r="PF52" s="134"/>
      <c r="PG52" s="133"/>
      <c r="PH52" s="134"/>
      <c r="PI52" s="135">
        <f t="shared" si="37"/>
        <v>1479401</v>
      </c>
      <c r="PJ52" s="136">
        <f t="shared" si="10"/>
        <v>-1.7499573302624406E-2</v>
      </c>
      <c r="PK52" s="123"/>
      <c r="PL52" s="137">
        <f t="shared" si="38"/>
        <v>112342.5</v>
      </c>
      <c r="PM52" s="9">
        <f t="shared" si="39"/>
        <v>1591743.5</v>
      </c>
      <c r="PN52" s="138">
        <f t="shared" si="40"/>
        <v>0.1583814250678621</v>
      </c>
      <c r="PO52" s="86">
        <f>IF(PI52="","",MAX(PI$15:PI52))</f>
        <v>1516789</v>
      </c>
      <c r="PP52" s="113">
        <f t="shared" si="11"/>
        <v>-2.527239064999956E-2</v>
      </c>
      <c r="PQ52" s="41"/>
      <c r="PR52" s="302"/>
    </row>
    <row r="53" spans="1:434" s="1" customFormat="1" ht="15" customHeight="1" x14ac:dyDescent="0.45">
      <c r="A53" s="18">
        <v>43711</v>
      </c>
      <c r="B53" s="7" t="s">
        <v>295</v>
      </c>
      <c r="C53" s="4">
        <v>8111</v>
      </c>
      <c r="D53" s="10"/>
      <c r="E53" s="10"/>
      <c r="F53" s="10"/>
      <c r="G53" s="4"/>
      <c r="H53" s="4"/>
      <c r="I53" s="4"/>
      <c r="J53" s="4"/>
      <c r="K53" s="4"/>
      <c r="L53" s="4"/>
      <c r="M53" s="4"/>
      <c r="N53" s="4"/>
      <c r="O53" s="10"/>
      <c r="P53" s="4"/>
      <c r="Q53" s="4"/>
      <c r="R53" s="4">
        <v>16708</v>
      </c>
      <c r="S53" s="4">
        <v>21962</v>
      </c>
      <c r="T53" s="4"/>
      <c r="U53" s="10">
        <v>53700</v>
      </c>
      <c r="V53" s="10"/>
      <c r="W53" s="10"/>
      <c r="X53" s="4"/>
      <c r="Y53" s="18">
        <f t="shared" si="45"/>
        <v>43709</v>
      </c>
      <c r="Z53" s="4"/>
      <c r="AA53" s="77">
        <f t="shared" si="21"/>
        <v>9.2202926790072616E-3</v>
      </c>
      <c r="AB53" s="8">
        <f t="shared" si="27"/>
        <v>100481</v>
      </c>
      <c r="AC53" s="2"/>
      <c r="AD53" s="7" t="s">
        <v>295</v>
      </c>
      <c r="AE53" s="4">
        <v>76176</v>
      </c>
      <c r="AF53" s="4">
        <v>379492</v>
      </c>
      <c r="AG53" s="4"/>
      <c r="AH53" s="4"/>
      <c r="AJ53" s="4"/>
      <c r="AK53" s="4"/>
      <c r="AL53" s="4"/>
      <c r="AM53" s="4"/>
      <c r="AO53" s="4"/>
      <c r="AP53" s="10"/>
      <c r="AQ53" s="4"/>
      <c r="AR53" s="4"/>
      <c r="AS53" s="4"/>
      <c r="AT53" s="4"/>
      <c r="AU53" s="4"/>
      <c r="AW53" s="4"/>
      <c r="AX53" s="4">
        <v>11899</v>
      </c>
      <c r="AY53" s="4"/>
      <c r="AZ53" s="4"/>
      <c r="BA53" s="4"/>
      <c r="BB53" s="4"/>
      <c r="BC53" s="4"/>
      <c r="BD53" s="4"/>
      <c r="BE53" s="4"/>
      <c r="BF53" s="4"/>
      <c r="BH53" s="4"/>
      <c r="BI53" s="4"/>
      <c r="BJ53" s="4"/>
      <c r="BK53" s="4"/>
      <c r="BL53" s="4"/>
      <c r="BM53" s="4">
        <v>18586</v>
      </c>
      <c r="BN53" s="4">
        <v>18635</v>
      </c>
      <c r="BO53" s="4"/>
      <c r="BP53" s="4"/>
      <c r="BQ53" s="4"/>
      <c r="BS53" s="10"/>
      <c r="BT53" s="4"/>
      <c r="BU53" s="4"/>
      <c r="BV53" s="4"/>
      <c r="BW53" s="4"/>
      <c r="CA53" s="4">
        <v>99509</v>
      </c>
      <c r="CB53" s="4"/>
      <c r="CC53" s="4">
        <v>18800</v>
      </c>
      <c r="CD53" s="4"/>
      <c r="CE53" s="4"/>
      <c r="CF53" s="4"/>
      <c r="CG53" s="4"/>
      <c r="CH53" s="4"/>
      <c r="CI53" s="4"/>
      <c r="CJ53" s="10"/>
      <c r="CK53" s="4"/>
      <c r="CL53" s="10"/>
      <c r="CN53" s="4"/>
      <c r="CO53" s="10"/>
      <c r="CP53" s="4"/>
      <c r="CQ53" s="4">
        <v>18628</v>
      </c>
      <c r="CR53" s="10"/>
      <c r="CS53" s="4"/>
      <c r="CT53" s="4"/>
      <c r="CU53" s="4">
        <v>21707</v>
      </c>
      <c r="CV53" s="4"/>
      <c r="CW53" s="4"/>
      <c r="CX53" s="4"/>
      <c r="CY53" s="77">
        <f t="shared" si="46"/>
        <v>3.1996806367908838E-3</v>
      </c>
      <c r="CZ53" s="8">
        <f t="shared" si="28"/>
        <v>663432</v>
      </c>
      <c r="DA53" s="2"/>
      <c r="DH53" s="4"/>
      <c r="DJ53" s="4"/>
      <c r="DX53" s="2"/>
      <c r="DY53" s="32"/>
      <c r="DZ53" s="4">
        <v>5</v>
      </c>
      <c r="EA53" s="32"/>
      <c r="EB53" s="32"/>
      <c r="EC53" s="32"/>
      <c r="ED53" s="32"/>
      <c r="EE53" s="4"/>
      <c r="EF53" s="4"/>
      <c r="EG53" s="32"/>
      <c r="EH53" s="32"/>
      <c r="EI53" s="32"/>
      <c r="EJ53" s="32"/>
      <c r="EK53" s="5"/>
      <c r="EO53" s="2"/>
      <c r="EQ53" s="468" t="s">
        <v>1</v>
      </c>
      <c r="ER53"/>
      <c r="ES53" s="6" t="s">
        <v>315</v>
      </c>
      <c r="ET53" s="10"/>
      <c r="EU53" s="10"/>
      <c r="EV53" s="10"/>
      <c r="EW53" s="10"/>
      <c r="EX53" s="4">
        <v>6424</v>
      </c>
      <c r="EY53" s="4">
        <v>17485</v>
      </c>
      <c r="EZ53" s="4"/>
      <c r="FA53" s="4"/>
      <c r="FB53" s="4"/>
      <c r="FC53" s="4"/>
      <c r="FD53" s="4"/>
      <c r="FE53" s="4"/>
      <c r="FF53" s="4"/>
      <c r="FG53" s="4"/>
      <c r="FH53" s="10">
        <v>18600</v>
      </c>
      <c r="FI53" s="10">
        <v>15370</v>
      </c>
      <c r="FJ53" s="10"/>
      <c r="FK53" s="10">
        <v>19700</v>
      </c>
      <c r="FL53" s="10"/>
      <c r="FM53" s="10">
        <v>20792</v>
      </c>
      <c r="FN53" s="4"/>
      <c r="FO53" s="4"/>
      <c r="FP53" s="10"/>
      <c r="FQ53" s="4"/>
      <c r="FR53" s="4"/>
      <c r="FS53" s="10">
        <v>19863</v>
      </c>
      <c r="FT53" s="4"/>
      <c r="FU53" s="4"/>
      <c r="FV53" s="4"/>
      <c r="FW53" s="4"/>
      <c r="FX53" s="4"/>
      <c r="FY53" s="4"/>
      <c r="FZ53" s="10">
        <v>21124</v>
      </c>
      <c r="GA53" s="10">
        <v>21008</v>
      </c>
      <c r="GB53" s="10">
        <v>6958</v>
      </c>
      <c r="GC53" s="10"/>
      <c r="GD53" s="4"/>
      <c r="GE53" s="4"/>
      <c r="GF53" s="4">
        <v>18162</v>
      </c>
      <c r="GG53" s="4"/>
      <c r="GH53" s="4"/>
      <c r="GI53" s="4"/>
      <c r="GJ53" s="4">
        <v>16349</v>
      </c>
      <c r="GK53" s="4"/>
      <c r="GL53" s="4"/>
      <c r="GM53" s="4">
        <v>23225</v>
      </c>
      <c r="GN53" s="10"/>
      <c r="GO53" s="10">
        <v>22341</v>
      </c>
      <c r="GP53" s="4"/>
      <c r="GQ53" s="10"/>
      <c r="GR53" s="4">
        <v>19120</v>
      </c>
      <c r="GS53" s="10">
        <v>16426</v>
      </c>
      <c r="GT53" s="4">
        <v>21962</v>
      </c>
      <c r="GU53" s="10"/>
      <c r="GV53" s="4"/>
      <c r="GW53" s="10">
        <v>17081</v>
      </c>
      <c r="GX53" s="10">
        <v>23216</v>
      </c>
      <c r="GY53" s="10"/>
      <c r="GZ53" s="10"/>
      <c r="HA53" s="18">
        <v>43709</v>
      </c>
      <c r="HB53" s="4">
        <v>5000</v>
      </c>
      <c r="HC53" s="77">
        <f t="shared" si="22"/>
        <v>5.461202163509849E-3</v>
      </c>
      <c r="HD53" s="8">
        <f t="shared" si="29"/>
        <v>345206</v>
      </c>
      <c r="HE53" s="2"/>
      <c r="HF53" s="3" t="s">
        <v>333</v>
      </c>
      <c r="HG53" s="4">
        <v>11120</v>
      </c>
      <c r="HH53" s="4"/>
      <c r="HI53" s="4"/>
      <c r="HJ53" s="4"/>
      <c r="HK53" s="4"/>
      <c r="HL53" s="4"/>
      <c r="HM53" s="4"/>
      <c r="HN53" s="4"/>
      <c r="HO53" s="4"/>
      <c r="HP53" s="4">
        <v>18884</v>
      </c>
      <c r="HQ53" s="4"/>
      <c r="HR53" s="4"/>
      <c r="HS53" s="4"/>
      <c r="HT53" s="10">
        <v>16848</v>
      </c>
      <c r="HU53" s="10"/>
      <c r="HV53" s="4"/>
      <c r="HW53" s="4"/>
      <c r="HX53" s="4"/>
      <c r="HY53" s="4"/>
      <c r="HZ53" s="4"/>
      <c r="IA53" s="4"/>
      <c r="IB53" s="4"/>
      <c r="IC53" s="4">
        <v>17899</v>
      </c>
      <c r="ID53" s="10">
        <v>20447</v>
      </c>
      <c r="IE53" s="4"/>
      <c r="IF53" s="10"/>
      <c r="IG53" s="4"/>
      <c r="IH53" s="4"/>
      <c r="II53" s="4"/>
      <c r="IJ53" s="4"/>
      <c r="IK53" s="4"/>
      <c r="IL53" s="4"/>
      <c r="IM53" s="4"/>
      <c r="IN53" s="4"/>
      <c r="IO53" s="4"/>
      <c r="IP53" s="4"/>
      <c r="IQ53" s="4"/>
      <c r="IR53" s="4">
        <v>18586</v>
      </c>
      <c r="IS53" s="4">
        <v>18635</v>
      </c>
      <c r="IT53" s="10">
        <v>23490</v>
      </c>
      <c r="IU53" s="4"/>
      <c r="IV53" s="4"/>
      <c r="IW53" s="4"/>
      <c r="IX53" s="10">
        <v>21712</v>
      </c>
      <c r="IY53" s="4"/>
      <c r="IZ53" s="4"/>
      <c r="JA53" s="4"/>
      <c r="JB53" s="4"/>
      <c r="JC53" s="4"/>
      <c r="JD53" s="4"/>
      <c r="JE53" s="4"/>
      <c r="JF53" s="10">
        <v>12345</v>
      </c>
      <c r="JG53" s="10"/>
      <c r="JH53" s="10"/>
      <c r="JI53" s="4"/>
      <c r="JJ53" s="4"/>
      <c r="JK53" s="4"/>
      <c r="JL53" s="4">
        <v>21663</v>
      </c>
      <c r="JM53" s="4"/>
      <c r="JN53" s="10"/>
      <c r="JO53" s="10"/>
      <c r="JP53" s="4"/>
      <c r="JQ53" s="4"/>
      <c r="JR53" s="4"/>
      <c r="JS53" s="4"/>
      <c r="JT53" s="4"/>
      <c r="JU53" s="10">
        <v>11895</v>
      </c>
      <c r="JV53" s="4"/>
      <c r="JW53" s="4"/>
      <c r="JX53" s="4"/>
      <c r="JY53" s="4"/>
      <c r="JZ53" s="4"/>
      <c r="KA53" s="4">
        <v>14306</v>
      </c>
      <c r="KB53" s="4"/>
      <c r="KC53" s="4"/>
      <c r="KD53" s="10">
        <v>15424</v>
      </c>
      <c r="KE53" s="10">
        <v>20616</v>
      </c>
      <c r="KF53" s="10"/>
      <c r="KG53" s="4"/>
      <c r="KH53" s="10"/>
      <c r="KI53" s="10"/>
      <c r="KJ53" s="10">
        <v>17403</v>
      </c>
      <c r="KK53" s="10">
        <v>14914</v>
      </c>
      <c r="KL53" s="4">
        <v>18628</v>
      </c>
      <c r="KM53" s="10"/>
      <c r="KN53" s="4"/>
      <c r="KO53" s="4"/>
      <c r="KP53" s="4">
        <v>21707</v>
      </c>
      <c r="KQ53" s="4"/>
      <c r="KR53" s="10"/>
      <c r="KS53" s="4">
        <v>19980</v>
      </c>
      <c r="KT53" s="4"/>
      <c r="KU53" s="4"/>
      <c r="KV53" s="4"/>
      <c r="KW53" s="4"/>
      <c r="KX53" s="18"/>
      <c r="KY53" s="31"/>
      <c r="KZ53" s="77">
        <f t="shared" si="23"/>
        <v>1.3532646087188906E-2</v>
      </c>
      <c r="LA53" s="8">
        <f t="shared" si="30"/>
        <v>356502</v>
      </c>
      <c r="LB53" s="2"/>
      <c r="LC53" s="43"/>
      <c r="MO53" s="172"/>
      <c r="NO53" s="77"/>
      <c r="NP53" s="63"/>
      <c r="NQ53"/>
      <c r="NR53" s="77" t="e">
        <f t="shared" si="24"/>
        <v>#DIV/0!</v>
      </c>
      <c r="NS53" s="8">
        <f t="shared" si="42"/>
        <v>0</v>
      </c>
      <c r="NT53" s="2"/>
      <c r="NU53" s="3" t="s">
        <v>295</v>
      </c>
      <c r="NV53" s="4">
        <v>5</v>
      </c>
      <c r="NW53" s="4"/>
      <c r="NX53" s="4"/>
      <c r="NY53" s="4"/>
      <c r="NZ53" s="4"/>
      <c r="OA53" s="4"/>
      <c r="OB53" s="4"/>
      <c r="OC53" s="4">
        <v>23826</v>
      </c>
      <c r="OD53" s="4"/>
      <c r="OE53" s="77">
        <f t="shared" si="25"/>
        <v>1.629067337626338E-2</v>
      </c>
      <c r="OF53" s="8">
        <f t="shared" si="43"/>
        <v>23831</v>
      </c>
      <c r="OG53" s="2"/>
      <c r="OJ53" s="40"/>
      <c r="OK53" s="40"/>
      <c r="OL53" s="40"/>
      <c r="OM53" s="40"/>
      <c r="ON53" s="40"/>
      <c r="OO53" s="40"/>
      <c r="OQ53" s="40"/>
      <c r="OR53" s="77"/>
      <c r="OS53" s="35"/>
      <c r="OT53" s="37"/>
      <c r="OU53" s="126">
        <f t="shared" si="31"/>
        <v>787744</v>
      </c>
      <c r="OV53" s="71">
        <f t="shared" si="44"/>
        <v>4.3553207331626567E-3</v>
      </c>
      <c r="OW53" s="139">
        <f>IF(A53="","",SUM(Z$17:Z53))</f>
        <v>20000</v>
      </c>
      <c r="OX53" s="139">
        <f t="shared" si="32"/>
        <v>807744</v>
      </c>
      <c r="OY53" s="132">
        <f t="shared" si="33"/>
        <v>0.13194569983561966</v>
      </c>
      <c r="OZ53" s="140">
        <f t="shared" si="34"/>
        <v>701708</v>
      </c>
      <c r="PA53" s="84">
        <f t="shared" si="47"/>
        <v>9.5457599417615134E-3</v>
      </c>
      <c r="PB53" s="130">
        <f>IF(A53="","",SUM(HB$17:HB53)+SUM(KY$17:KY53))</f>
        <v>97342.5</v>
      </c>
      <c r="PC53" s="131">
        <f t="shared" si="35"/>
        <v>799050.5</v>
      </c>
      <c r="PD53" s="132">
        <f t="shared" si="36"/>
        <v>0.20972762410279158</v>
      </c>
      <c r="PE53" s="133"/>
      <c r="PF53" s="134"/>
      <c r="PG53" s="133"/>
      <c r="PH53" s="134"/>
      <c r="PI53" s="135">
        <f t="shared" si="37"/>
        <v>1489452</v>
      </c>
      <c r="PJ53" s="136">
        <f t="shared" si="10"/>
        <v>6.7939659362133732E-3</v>
      </c>
      <c r="PK53" s="123"/>
      <c r="PL53" s="137">
        <f t="shared" si="38"/>
        <v>117342.5</v>
      </c>
      <c r="PM53" s="9">
        <f t="shared" si="39"/>
        <v>1606794.5</v>
      </c>
      <c r="PN53" s="138">
        <f t="shared" si="40"/>
        <v>0.169334696640007</v>
      </c>
      <c r="PO53" s="86">
        <f>IF(PI53="","",MAX(PI$15:PI53))</f>
        <v>1516789</v>
      </c>
      <c r="PP53" s="113">
        <f t="shared" si="11"/>
        <v>-1.8353730096706707E-2</v>
      </c>
      <c r="PQ53" s="41"/>
      <c r="PR53" s="302"/>
    </row>
    <row r="54" spans="1:434" s="1" customFormat="1" ht="15" customHeight="1" x14ac:dyDescent="0.45">
      <c r="A54" s="18">
        <v>43739</v>
      </c>
      <c r="B54" s="3" t="s">
        <v>334</v>
      </c>
      <c r="C54" s="4">
        <v>36624</v>
      </c>
      <c r="D54" s="10"/>
      <c r="E54" s="10"/>
      <c r="F54" s="10"/>
      <c r="G54" s="4"/>
      <c r="H54" s="4"/>
      <c r="I54" s="4"/>
      <c r="J54" s="4"/>
      <c r="K54" s="4"/>
      <c r="L54" s="4"/>
      <c r="M54" s="4"/>
      <c r="N54" s="4"/>
      <c r="O54" s="10"/>
      <c r="P54" s="4"/>
      <c r="Q54" s="4"/>
      <c r="R54" s="4">
        <v>16913</v>
      </c>
      <c r="S54" s="4">
        <v>22380</v>
      </c>
      <c r="T54" s="4"/>
      <c r="U54" s="10"/>
      <c r="V54" s="10"/>
      <c r="W54" s="10"/>
      <c r="X54" s="4"/>
      <c r="Y54" s="18">
        <f t="shared" si="45"/>
        <v>43739</v>
      </c>
      <c r="Z54" s="4"/>
      <c r="AA54" s="77">
        <f t="shared" si="21"/>
        <v>-0.24446412754650132</v>
      </c>
      <c r="AB54" s="8">
        <f t="shared" si="27"/>
        <v>75917</v>
      </c>
      <c r="AC54" s="2"/>
      <c r="AD54" s="7" t="s">
        <v>295</v>
      </c>
      <c r="AE54" s="4">
        <v>77479</v>
      </c>
      <c r="AF54" s="4">
        <v>378198</v>
      </c>
      <c r="AG54" s="4"/>
      <c r="AH54" s="4"/>
      <c r="AJ54" s="4"/>
      <c r="AK54" s="4"/>
      <c r="AL54" s="4"/>
      <c r="AM54" s="4"/>
      <c r="AO54" s="4"/>
      <c r="AP54" s="10"/>
      <c r="AQ54" s="4"/>
      <c r="AR54" s="4"/>
      <c r="AS54" s="4"/>
      <c r="AT54" s="4"/>
      <c r="AU54" s="4"/>
      <c r="AW54" s="4"/>
      <c r="AX54" s="4">
        <v>11920</v>
      </c>
      <c r="AY54" s="4"/>
      <c r="AZ54" s="4"/>
      <c r="BA54" s="4"/>
      <c r="BB54" s="4"/>
      <c r="BC54" s="4"/>
      <c r="BD54" s="4"/>
      <c r="BE54" s="4"/>
      <c r="BF54" s="4"/>
      <c r="BH54" s="4"/>
      <c r="BI54" s="4"/>
      <c r="BJ54" s="4"/>
      <c r="BK54" s="4"/>
      <c r="BL54" s="4"/>
      <c r="BM54" s="4">
        <v>18972</v>
      </c>
      <c r="BN54" s="4">
        <v>19083</v>
      </c>
      <c r="BO54" s="4"/>
      <c r="BP54" s="4"/>
      <c r="BQ54" s="4"/>
      <c r="BS54" s="10"/>
      <c r="BT54" s="4"/>
      <c r="BU54" s="4"/>
      <c r="BV54" s="4"/>
      <c r="BW54" s="4"/>
      <c r="CA54" s="4">
        <v>100190</v>
      </c>
      <c r="CB54" s="4"/>
      <c r="CC54" s="4">
        <v>18833</v>
      </c>
      <c r="CD54" s="4"/>
      <c r="CE54" s="4"/>
      <c r="CF54" s="4"/>
      <c r="CG54" s="4"/>
      <c r="CH54" s="4"/>
      <c r="CI54" s="4"/>
      <c r="CJ54" s="10"/>
      <c r="CK54" s="4"/>
      <c r="CL54" s="10"/>
      <c r="CN54" s="4"/>
      <c r="CO54" s="10"/>
      <c r="CP54" s="4"/>
      <c r="CQ54" s="4">
        <v>18466</v>
      </c>
      <c r="CR54" s="10"/>
      <c r="CS54" s="4"/>
      <c r="CT54" s="4"/>
      <c r="CU54" s="4">
        <v>22593</v>
      </c>
      <c r="CV54" s="4"/>
      <c r="CW54" s="4"/>
      <c r="CX54" s="4"/>
      <c r="CY54" s="77">
        <f t="shared" si="46"/>
        <v>3.4698356425375922E-3</v>
      </c>
      <c r="CZ54" s="8">
        <f t="shared" si="28"/>
        <v>665734</v>
      </c>
      <c r="DA54" s="2"/>
      <c r="DH54" s="4"/>
      <c r="DJ54" s="4"/>
      <c r="DX54" s="2"/>
      <c r="DY54" s="32"/>
      <c r="DZ54" s="4"/>
      <c r="EA54" s="32"/>
      <c r="EB54" s="32"/>
      <c r="EC54" s="32"/>
      <c r="ED54" s="32"/>
      <c r="EE54" s="4"/>
      <c r="EF54" s="4"/>
      <c r="EG54" s="32"/>
      <c r="EH54" s="32"/>
      <c r="EI54" s="32"/>
      <c r="EJ54" s="32"/>
      <c r="EK54" s="5"/>
      <c r="EO54" s="2"/>
      <c r="EQ54" s="468" t="s">
        <v>1</v>
      </c>
      <c r="ER54"/>
      <c r="ES54" s="6" t="s">
        <v>335</v>
      </c>
      <c r="ET54" s="10"/>
      <c r="EU54" s="10"/>
      <c r="EV54" s="10"/>
      <c r="EW54" s="10"/>
      <c r="EX54" s="4">
        <f>2423+3845</f>
        <v>6268</v>
      </c>
      <c r="EY54" s="4">
        <v>19124</v>
      </c>
      <c r="EZ54" s="4"/>
      <c r="FA54" s="4"/>
      <c r="FB54" s="4"/>
      <c r="FC54" s="4"/>
      <c r="FD54" s="4"/>
      <c r="FE54" s="4"/>
      <c r="FF54" s="4"/>
      <c r="FG54" s="4"/>
      <c r="FH54" s="10">
        <v>19120</v>
      </c>
      <c r="FI54" s="10">
        <v>15148</v>
      </c>
      <c r="FJ54" s="10"/>
      <c r="FK54" s="10">
        <v>20286</v>
      </c>
      <c r="FL54" s="10"/>
      <c r="FM54" s="10">
        <v>20985</v>
      </c>
      <c r="FN54" s="4"/>
      <c r="FO54" s="4"/>
      <c r="FP54" s="10"/>
      <c r="FQ54" s="4"/>
      <c r="FR54" s="4"/>
      <c r="FS54" s="10">
        <v>20544</v>
      </c>
      <c r="FT54" s="4"/>
      <c r="FU54" s="4"/>
      <c r="FV54" s="4"/>
      <c r="FW54" s="4"/>
      <c r="FX54" s="4"/>
      <c r="FY54" s="4"/>
      <c r="FZ54" s="10">
        <v>16979</v>
      </c>
      <c r="GA54" s="10">
        <v>20341</v>
      </c>
      <c r="GB54" s="10">
        <v>6811</v>
      </c>
      <c r="GC54" s="10"/>
      <c r="GD54" s="4"/>
      <c r="GE54" s="4"/>
      <c r="GF54" s="4">
        <v>18841</v>
      </c>
      <c r="GG54" s="4"/>
      <c r="GH54" s="4"/>
      <c r="GI54" s="4"/>
      <c r="GJ54" s="4">
        <v>17516</v>
      </c>
      <c r="GK54" s="4"/>
      <c r="GL54" s="4"/>
      <c r="GM54" s="4">
        <v>20806</v>
      </c>
      <c r="GN54" s="10"/>
      <c r="GO54" s="10">
        <v>23784</v>
      </c>
      <c r="GP54" s="4"/>
      <c r="GQ54" s="10"/>
      <c r="GR54" s="4">
        <v>18816</v>
      </c>
      <c r="GS54" s="10">
        <v>16225</v>
      </c>
      <c r="GT54" s="4">
        <v>22380</v>
      </c>
      <c r="GU54" s="10"/>
      <c r="GV54" s="4"/>
      <c r="GW54" s="10">
        <v>17000</v>
      </c>
      <c r="GX54" s="10">
        <v>23952</v>
      </c>
      <c r="GY54" s="10"/>
      <c r="GZ54" s="10"/>
      <c r="HA54" s="18">
        <v>43739</v>
      </c>
      <c r="HB54" s="4">
        <v>5000</v>
      </c>
      <c r="HC54" s="77">
        <f t="shared" si="22"/>
        <v>-8.1110988800889901E-4</v>
      </c>
      <c r="HD54" s="8">
        <f t="shared" si="29"/>
        <v>344926</v>
      </c>
      <c r="HE54" s="2"/>
      <c r="HF54" s="3" t="s">
        <v>295</v>
      </c>
      <c r="HG54" s="4">
        <v>12500</v>
      </c>
      <c r="HH54" s="4"/>
      <c r="HI54" s="4"/>
      <c r="HJ54" s="4"/>
      <c r="HK54" s="4"/>
      <c r="HL54" s="4"/>
      <c r="HM54" s="4"/>
      <c r="HN54" s="4"/>
      <c r="HO54" s="4"/>
      <c r="HP54" s="4">
        <v>19412</v>
      </c>
      <c r="HQ54" s="4"/>
      <c r="HR54" s="4"/>
      <c r="HS54" s="4"/>
      <c r="HT54" s="10">
        <v>16888</v>
      </c>
      <c r="HU54" s="10"/>
      <c r="HV54" s="4"/>
      <c r="HW54" s="4"/>
      <c r="HX54" s="4"/>
      <c r="HY54" s="4"/>
      <c r="HZ54" s="4"/>
      <c r="IA54" s="4"/>
      <c r="IB54" s="4"/>
      <c r="IC54" s="4">
        <v>18629</v>
      </c>
      <c r="ID54" s="10">
        <v>19448</v>
      </c>
      <c r="IE54" s="4"/>
      <c r="IF54" s="10"/>
      <c r="IG54" s="4"/>
      <c r="IH54" s="4"/>
      <c r="II54" s="4"/>
      <c r="IJ54" s="4"/>
      <c r="IK54" s="4"/>
      <c r="IL54" s="4"/>
      <c r="IM54" s="4"/>
      <c r="IN54" s="4"/>
      <c r="IO54" s="4"/>
      <c r="IP54" s="4"/>
      <c r="IQ54" s="4"/>
      <c r="IR54" s="4">
        <v>18972</v>
      </c>
      <c r="IS54" s="4">
        <v>19083</v>
      </c>
      <c r="IT54" s="10">
        <v>25430</v>
      </c>
      <c r="IU54" s="4"/>
      <c r="IV54" s="4"/>
      <c r="IW54" s="4"/>
      <c r="IX54" s="10">
        <v>23144</v>
      </c>
      <c r="IY54" s="4"/>
      <c r="IZ54" s="4"/>
      <c r="JA54" s="4"/>
      <c r="JB54" s="4"/>
      <c r="JC54" s="4"/>
      <c r="JD54" s="4"/>
      <c r="JE54" s="4"/>
      <c r="JF54" s="10">
        <v>14301</v>
      </c>
      <c r="JG54" s="10"/>
      <c r="JH54" s="10"/>
      <c r="JI54" s="4"/>
      <c r="JJ54" s="4"/>
      <c r="JK54" s="4"/>
      <c r="JL54" s="4">
        <v>20920</v>
      </c>
      <c r="JM54" s="4"/>
      <c r="JN54" s="10"/>
      <c r="JO54" s="10"/>
      <c r="JP54" s="4"/>
      <c r="JQ54" s="4"/>
      <c r="JR54" s="4"/>
      <c r="JS54" s="4"/>
      <c r="JT54" s="4"/>
      <c r="JU54" s="10">
        <v>12281</v>
      </c>
      <c r="JV54" s="4"/>
      <c r="JW54" s="4"/>
      <c r="JX54" s="4"/>
      <c r="JY54" s="4"/>
      <c r="JZ54" s="4"/>
      <c r="KA54" s="4">
        <v>14791</v>
      </c>
      <c r="KB54" s="4"/>
      <c r="KC54" s="4"/>
      <c r="KD54" s="10">
        <v>15684</v>
      </c>
      <c r="KE54" s="10">
        <v>20687</v>
      </c>
      <c r="KF54" s="10"/>
      <c r="KG54" s="4"/>
      <c r="KH54" s="10"/>
      <c r="KI54" s="10"/>
      <c r="KJ54" s="10">
        <v>17692</v>
      </c>
      <c r="KK54" s="10">
        <v>17084</v>
      </c>
      <c r="KL54" s="4">
        <v>18466</v>
      </c>
      <c r="KM54" s="10"/>
      <c r="KN54" s="4"/>
      <c r="KO54" s="4"/>
      <c r="KP54" s="4">
        <v>22593</v>
      </c>
      <c r="KQ54" s="4"/>
      <c r="KR54" s="10"/>
      <c r="KS54" s="4">
        <v>20595</v>
      </c>
      <c r="KT54" s="4"/>
      <c r="KU54" s="4"/>
      <c r="KV54" s="4"/>
      <c r="KW54" s="4"/>
      <c r="KX54" s="18"/>
      <c r="KY54" s="31"/>
      <c r="KZ54" s="77">
        <f t="shared" si="23"/>
        <v>3.3935293490639604E-2</v>
      </c>
      <c r="LA54" s="8">
        <f t="shared" si="30"/>
        <v>368600</v>
      </c>
      <c r="LB54" s="2"/>
      <c r="LC54" s="43"/>
      <c r="MO54" s="172"/>
      <c r="NO54" s="77"/>
      <c r="NP54" s="63"/>
      <c r="NQ54"/>
      <c r="NR54" s="77" t="e">
        <f t="shared" si="24"/>
        <v>#DIV/0!</v>
      </c>
      <c r="NS54" s="8">
        <f t="shared" si="42"/>
        <v>0</v>
      </c>
      <c r="NT54" s="2"/>
      <c r="NU54" s="7"/>
      <c r="NV54" s="4"/>
      <c r="NW54" s="4"/>
      <c r="NX54" s="4"/>
      <c r="NY54" s="4"/>
      <c r="NZ54" s="4"/>
      <c r="OA54" s="4"/>
      <c r="OB54" s="4"/>
      <c r="OC54" s="4"/>
      <c r="OD54" s="4"/>
      <c r="OE54" s="77">
        <f t="shared" si="25"/>
        <v>-1</v>
      </c>
      <c r="OF54" s="8">
        <f t="shared" si="43"/>
        <v>0</v>
      </c>
      <c r="OG54" s="2"/>
      <c r="OJ54" s="40"/>
      <c r="OK54" s="40"/>
      <c r="OL54" s="40"/>
      <c r="OM54" s="40"/>
      <c r="ON54" s="40"/>
      <c r="OO54" s="40"/>
      <c r="OQ54" s="40"/>
      <c r="OR54" s="77"/>
      <c r="OS54" s="35"/>
      <c r="OT54" s="37"/>
      <c r="OU54" s="126">
        <f t="shared" si="31"/>
        <v>741651</v>
      </c>
      <c r="OV54" s="71">
        <f t="shared" si="44"/>
        <v>-5.8512664012674166E-2</v>
      </c>
      <c r="OW54" s="139">
        <f>IF(A54="","",SUM(Z$17:Z54))</f>
        <v>20000</v>
      </c>
      <c r="OX54" s="139">
        <f t="shared" si="32"/>
        <v>761651</v>
      </c>
      <c r="OY54" s="132">
        <f t="shared" si="33"/>
        <v>6.7352495624231873E-2</v>
      </c>
      <c r="OZ54" s="140">
        <f t="shared" si="34"/>
        <v>713526</v>
      </c>
      <c r="PA54" s="84">
        <f t="shared" si="47"/>
        <v>1.68417632405502E-2</v>
      </c>
      <c r="PB54" s="130">
        <f>IF(A54="","",SUM(HB$17:HB54)+SUM(KY$17:KY54))</f>
        <v>102342.5</v>
      </c>
      <c r="PC54" s="131">
        <f t="shared" si="35"/>
        <v>815868.5</v>
      </c>
      <c r="PD54" s="132">
        <f t="shared" si="36"/>
        <v>0.23518934295805888</v>
      </c>
      <c r="PE54" s="133"/>
      <c r="PF54" s="134"/>
      <c r="PG54" s="133"/>
      <c r="PH54" s="134"/>
      <c r="PI54" s="135">
        <f t="shared" si="37"/>
        <v>1455177</v>
      </c>
      <c r="PJ54" s="136">
        <f t="shared" si="10"/>
        <v>-2.3011819111995551E-2</v>
      </c>
      <c r="PK54" s="123"/>
      <c r="PL54" s="137">
        <f t="shared" si="38"/>
        <v>122342.5</v>
      </c>
      <c r="PM54" s="9">
        <f t="shared" si="39"/>
        <v>1577519.5</v>
      </c>
      <c r="PN54" s="138">
        <f t="shared" si="40"/>
        <v>0.14802999759844554</v>
      </c>
      <c r="PO54" s="86">
        <f>IF(PI54="","",MAX(PI$15:PI54))</f>
        <v>1516789</v>
      </c>
      <c r="PP54" s="113">
        <f t="shared" si="11"/>
        <v>-4.2339866559188331E-2</v>
      </c>
      <c r="PQ54" s="41"/>
      <c r="PR54" s="302"/>
    </row>
    <row r="55" spans="1:434" s="1" customFormat="1" ht="15" customHeight="1" x14ac:dyDescent="0.45">
      <c r="A55" s="18">
        <v>43800</v>
      </c>
      <c r="B55" s="7" t="s">
        <v>295</v>
      </c>
      <c r="C55" s="4">
        <v>36712</v>
      </c>
      <c r="D55" s="10"/>
      <c r="E55" s="10"/>
      <c r="F55" s="10"/>
      <c r="G55" s="4"/>
      <c r="H55" s="4"/>
      <c r="I55" s="4"/>
      <c r="J55" s="4"/>
      <c r="K55" s="4"/>
      <c r="L55" s="4"/>
      <c r="M55" s="4"/>
      <c r="N55" s="4"/>
      <c r="O55" s="10"/>
      <c r="P55" s="4"/>
      <c r="Q55" s="4"/>
      <c r="R55" s="4">
        <v>17644</v>
      </c>
      <c r="S55" s="4">
        <v>23634</v>
      </c>
      <c r="T55" s="4"/>
      <c r="U55" s="10"/>
      <c r="V55" s="10"/>
      <c r="W55" s="10"/>
      <c r="X55" s="4"/>
      <c r="Y55" s="18" t="str">
        <f t="shared" si="45"/>
        <v/>
      </c>
      <c r="Z55" s="4"/>
      <c r="AA55" s="77">
        <f t="shared" si="21"/>
        <v>2.7306136965370074E-2</v>
      </c>
      <c r="AB55" s="8">
        <f t="shared" si="27"/>
        <v>77990</v>
      </c>
      <c r="AC55" s="2"/>
      <c r="AD55" s="7" t="s">
        <v>295</v>
      </c>
      <c r="AE55" s="4">
        <v>81438</v>
      </c>
      <c r="AF55" s="4">
        <v>378190</v>
      </c>
      <c r="AG55" s="4"/>
      <c r="AH55" s="4"/>
      <c r="AJ55" s="4"/>
      <c r="AK55" s="4"/>
      <c r="AL55" s="4"/>
      <c r="AM55" s="4"/>
      <c r="AO55" s="4"/>
      <c r="AP55" s="10"/>
      <c r="AQ55" s="4"/>
      <c r="AR55" s="4"/>
      <c r="AS55" s="4"/>
      <c r="AT55" s="4"/>
      <c r="AU55" s="4"/>
      <c r="AW55" s="4"/>
      <c r="AX55" s="4">
        <v>12012</v>
      </c>
      <c r="AY55" s="4"/>
      <c r="AZ55" s="4"/>
      <c r="BA55" s="4"/>
      <c r="BB55" s="4"/>
      <c r="BC55" s="4"/>
      <c r="BD55" s="4"/>
      <c r="BE55" s="4"/>
      <c r="BF55" s="4"/>
      <c r="BH55" s="4"/>
      <c r="BI55" s="4"/>
      <c r="BJ55" s="4"/>
      <c r="BK55" s="4"/>
      <c r="BL55" s="4"/>
      <c r="BM55" s="4">
        <v>20110</v>
      </c>
      <c r="BN55" s="4">
        <v>20453</v>
      </c>
      <c r="BO55" s="4"/>
      <c r="BP55" s="4"/>
      <c r="BQ55" s="4"/>
      <c r="BS55" s="10"/>
      <c r="BT55" s="4"/>
      <c r="BU55" s="4"/>
      <c r="BV55" s="4"/>
      <c r="BW55" s="4"/>
      <c r="CA55" s="4">
        <v>100874</v>
      </c>
      <c r="CB55" s="4"/>
      <c r="CC55" s="4">
        <v>18981</v>
      </c>
      <c r="CD55" s="4"/>
      <c r="CE55" s="4"/>
      <c r="CF55" s="4"/>
      <c r="CG55" s="4"/>
      <c r="CH55" s="4"/>
      <c r="CI55" s="4"/>
      <c r="CJ55" s="10"/>
      <c r="CK55" s="4"/>
      <c r="CL55" s="10"/>
      <c r="CN55" s="4"/>
      <c r="CO55" s="10"/>
      <c r="CP55" s="4"/>
      <c r="CQ55" s="4">
        <v>18614</v>
      </c>
      <c r="CR55" s="10"/>
      <c r="CS55" s="4"/>
      <c r="CT55" s="4"/>
      <c r="CU55" s="4">
        <v>21900</v>
      </c>
      <c r="CV55" s="4"/>
      <c r="CW55" s="4"/>
      <c r="CX55" s="4"/>
      <c r="CY55" s="77">
        <f t="shared" si="46"/>
        <v>1.0271369646134943E-2</v>
      </c>
      <c r="CZ55" s="8">
        <f t="shared" si="28"/>
        <v>672572</v>
      </c>
      <c r="DA55" s="2"/>
      <c r="DH55" s="4"/>
      <c r="DJ55" s="4"/>
      <c r="DX55" s="2"/>
      <c r="DY55" s="32"/>
      <c r="DZ55" s="4">
        <v>5</v>
      </c>
      <c r="EA55" s="32"/>
      <c r="EB55" s="32"/>
      <c r="EC55" s="32"/>
      <c r="ED55" s="32"/>
      <c r="EE55" s="4"/>
      <c r="EF55" s="4"/>
      <c r="EG55" s="32"/>
      <c r="EH55" s="32"/>
      <c r="EI55" s="32"/>
      <c r="EJ55" s="32"/>
      <c r="EK55" s="5"/>
      <c r="EO55" s="2"/>
      <c r="EQ55" s="468" t="s">
        <v>1</v>
      </c>
      <c r="ER55"/>
      <c r="ES55" s="6" t="s">
        <v>336</v>
      </c>
      <c r="ET55" s="10"/>
      <c r="EU55" s="10"/>
      <c r="EV55" s="10"/>
      <c r="EW55" s="10"/>
      <c r="EX55" s="4">
        <f>1966+4426</f>
        <v>6392</v>
      </c>
      <c r="EY55" s="4">
        <v>22716</v>
      </c>
      <c r="EZ55" s="4"/>
      <c r="FA55" s="4"/>
      <c r="FB55" s="4"/>
      <c r="FC55" s="4"/>
      <c r="FD55" s="4"/>
      <c r="FE55" s="4"/>
      <c r="FF55" s="4"/>
      <c r="FG55" s="4"/>
      <c r="FH55" s="10">
        <v>18124</v>
      </c>
      <c r="FI55" s="10"/>
      <c r="FJ55" s="10"/>
      <c r="FK55" s="10">
        <v>20771</v>
      </c>
      <c r="FL55" s="10">
        <v>14328</v>
      </c>
      <c r="FM55" s="10">
        <v>22491</v>
      </c>
      <c r="FN55" s="4"/>
      <c r="FO55" s="4"/>
      <c r="FP55" s="10"/>
      <c r="FQ55" s="4"/>
      <c r="FR55" s="4"/>
      <c r="FS55" s="10">
        <v>22184</v>
      </c>
      <c r="FT55" s="4"/>
      <c r="FU55" s="4"/>
      <c r="FV55" s="4"/>
      <c r="FW55" s="4"/>
      <c r="FX55" s="4"/>
      <c r="FY55" s="4"/>
      <c r="FZ55" s="10">
        <v>14077</v>
      </c>
      <c r="GA55" s="10">
        <v>21917</v>
      </c>
      <c r="GB55" s="10">
        <v>7232</v>
      </c>
      <c r="GC55" s="10"/>
      <c r="GD55" s="4"/>
      <c r="GE55" s="4"/>
      <c r="GF55" s="4">
        <v>19649</v>
      </c>
      <c r="GG55" s="4"/>
      <c r="GH55" s="4"/>
      <c r="GI55" s="4"/>
      <c r="GJ55" s="4">
        <v>18659</v>
      </c>
      <c r="GK55" s="4"/>
      <c r="GL55" s="4"/>
      <c r="GM55" s="4">
        <v>20503</v>
      </c>
      <c r="GN55" s="10"/>
      <c r="GO55" s="10">
        <v>24165</v>
      </c>
      <c r="GP55" s="4"/>
      <c r="GQ55" s="10"/>
      <c r="GR55" s="4">
        <v>16719</v>
      </c>
      <c r="GS55" s="10">
        <v>16762</v>
      </c>
      <c r="GT55" s="4">
        <v>23634</v>
      </c>
      <c r="GU55" s="10"/>
      <c r="GV55" s="4"/>
      <c r="GW55" s="10">
        <v>17876</v>
      </c>
      <c r="GX55" s="10">
        <v>24096</v>
      </c>
      <c r="GY55" s="10"/>
      <c r="GZ55" s="10"/>
      <c r="HA55" s="18"/>
      <c r="HB55" s="4">
        <v>5863.09</v>
      </c>
      <c r="HC55" s="77">
        <f t="shared" si="22"/>
        <v>2.136400271362553E-2</v>
      </c>
      <c r="HD55" s="8">
        <f t="shared" si="29"/>
        <v>352295</v>
      </c>
      <c r="HE55" s="2"/>
      <c r="HF55" s="3" t="s">
        <v>295</v>
      </c>
      <c r="HG55" s="4">
        <f>12596+158</f>
        <v>12754</v>
      </c>
      <c r="HH55" s="4"/>
      <c r="HI55" s="4"/>
      <c r="HJ55" s="4"/>
      <c r="HK55" s="4"/>
      <c r="HL55" s="4"/>
      <c r="HM55" s="4"/>
      <c r="HN55" s="4"/>
      <c r="HO55" s="4"/>
      <c r="HP55" s="4">
        <v>19228</v>
      </c>
      <c r="HQ55" s="4"/>
      <c r="HR55" s="4"/>
      <c r="HS55" s="4"/>
      <c r="HT55" s="10">
        <v>17898</v>
      </c>
      <c r="HU55" s="10"/>
      <c r="HV55" s="4"/>
      <c r="HW55" s="4"/>
      <c r="HX55" s="4"/>
      <c r="HY55" s="4"/>
      <c r="HZ55" s="4"/>
      <c r="IA55" s="4"/>
      <c r="IB55" s="4"/>
      <c r="IC55" s="4">
        <v>18646</v>
      </c>
      <c r="ID55" s="10">
        <v>22737</v>
      </c>
      <c r="IE55" s="4"/>
      <c r="IF55" s="10"/>
      <c r="IG55" s="4"/>
      <c r="IH55" s="4"/>
      <c r="II55" s="4"/>
      <c r="IJ55" s="4"/>
      <c r="IK55" s="4"/>
      <c r="IL55" s="4"/>
      <c r="IM55" s="4"/>
      <c r="IN55" s="4"/>
      <c r="IO55" s="4"/>
      <c r="IP55" s="4"/>
      <c r="IQ55" s="4"/>
      <c r="IR55" s="4">
        <v>20110</v>
      </c>
      <c r="IS55" s="4">
        <v>20453</v>
      </c>
      <c r="IT55" s="10">
        <v>29025</v>
      </c>
      <c r="IU55" s="4"/>
      <c r="IV55" s="4"/>
      <c r="IW55" s="4"/>
      <c r="IX55" s="10">
        <v>26352</v>
      </c>
      <c r="IY55" s="4"/>
      <c r="IZ55" s="4"/>
      <c r="JA55" s="4"/>
      <c r="JB55" s="4"/>
      <c r="JC55" s="4"/>
      <c r="JD55" s="4"/>
      <c r="JE55" s="4"/>
      <c r="JF55" s="10">
        <v>15269</v>
      </c>
      <c r="JG55" s="10"/>
      <c r="JH55" s="10"/>
      <c r="JI55" s="4"/>
      <c r="JJ55" s="4"/>
      <c r="JK55" s="4"/>
      <c r="JL55" s="4">
        <v>21795</v>
      </c>
      <c r="JM55" s="4"/>
      <c r="JN55" s="10"/>
      <c r="JO55" s="10"/>
      <c r="JP55" s="4"/>
      <c r="JQ55" s="4"/>
      <c r="JR55" s="4"/>
      <c r="JS55" s="4"/>
      <c r="JT55" s="4"/>
      <c r="JU55" s="10">
        <v>13575</v>
      </c>
      <c r="JV55" s="4"/>
      <c r="JW55" s="4"/>
      <c r="JX55" s="4"/>
      <c r="JY55" s="4"/>
      <c r="JZ55" s="4"/>
      <c r="KA55" s="4">
        <v>16508</v>
      </c>
      <c r="KB55" s="4"/>
      <c r="KC55" s="4"/>
      <c r="KD55" s="10">
        <v>16612</v>
      </c>
      <c r="KE55" s="10">
        <v>20972</v>
      </c>
      <c r="KF55" s="10"/>
      <c r="KG55" s="4"/>
      <c r="KH55" s="10"/>
      <c r="KI55" s="10"/>
      <c r="KJ55" s="10">
        <v>19136</v>
      </c>
      <c r="KK55" s="10">
        <v>19098</v>
      </c>
      <c r="KL55" s="4">
        <v>18614</v>
      </c>
      <c r="KM55" s="10"/>
      <c r="KN55" s="4"/>
      <c r="KO55" s="4"/>
      <c r="KP55" s="4">
        <v>21900</v>
      </c>
      <c r="KQ55" s="4"/>
      <c r="KR55" s="10"/>
      <c r="KS55" s="4">
        <v>22613</v>
      </c>
      <c r="KT55" s="4"/>
      <c r="KU55" s="4"/>
      <c r="KV55" s="4"/>
      <c r="KW55" s="4"/>
      <c r="KX55" s="18">
        <v>43747</v>
      </c>
      <c r="KY55" s="31">
        <v>933.07</v>
      </c>
      <c r="KZ55" s="77">
        <f t="shared" si="23"/>
        <v>6.699674443841562E-2</v>
      </c>
      <c r="LA55" s="8">
        <f t="shared" si="30"/>
        <v>393295</v>
      </c>
      <c r="LB55" s="2"/>
      <c r="LC55" s="43"/>
      <c r="MO55" s="172"/>
      <c r="NO55" s="77"/>
      <c r="NP55" s="63"/>
      <c r="NQ55"/>
      <c r="NR55" s="77" t="e">
        <f t="shared" si="24"/>
        <v>#DIV/0!</v>
      </c>
      <c r="NS55" s="8">
        <f t="shared" si="42"/>
        <v>0</v>
      </c>
      <c r="NT55" s="2"/>
      <c r="NU55" s="3" t="s">
        <v>295</v>
      </c>
      <c r="NV55" s="4">
        <v>5</v>
      </c>
      <c r="NW55" s="4"/>
      <c r="NX55" s="4"/>
      <c r="NY55" s="4"/>
      <c r="NZ55" s="4"/>
      <c r="OA55" s="4"/>
      <c r="OB55" s="4"/>
      <c r="OC55" s="4">
        <v>26730</v>
      </c>
      <c r="OD55" s="4"/>
      <c r="OE55" s="77" t="e">
        <f t="shared" si="25"/>
        <v>#DIV/0!</v>
      </c>
      <c r="OF55" s="8">
        <f t="shared" si="43"/>
        <v>26735</v>
      </c>
      <c r="OG55" s="2"/>
      <c r="OJ55" s="40"/>
      <c r="OK55" s="40"/>
      <c r="OL55" s="40"/>
      <c r="OM55" s="40"/>
      <c r="ON55" s="40"/>
      <c r="OO55" s="40"/>
      <c r="OQ55" s="40"/>
      <c r="OR55" s="77"/>
      <c r="OS55" s="35"/>
      <c r="OT55" s="37"/>
      <c r="OU55" s="126">
        <f t="shared" si="31"/>
        <v>777297</v>
      </c>
      <c r="OV55" s="71">
        <f t="shared" si="44"/>
        <v>4.8063037736078021E-2</v>
      </c>
      <c r="OW55" s="139">
        <f>IF(A55="","",SUM(Z$17:Z55))</f>
        <v>20000</v>
      </c>
      <c r="OX55" s="139">
        <f t="shared" si="32"/>
        <v>797297</v>
      </c>
      <c r="OY55" s="132">
        <f t="shared" si="33"/>
        <v>0.11730561990165207</v>
      </c>
      <c r="OZ55" s="140">
        <f t="shared" si="34"/>
        <v>745590</v>
      </c>
      <c r="PA55" s="84">
        <f t="shared" si="47"/>
        <v>4.4937395413762078E-2</v>
      </c>
      <c r="PB55" s="130">
        <f>IF(A55="","",SUM(HB$17:HB55)+SUM(KY$17:KY55))</f>
        <v>109138.66</v>
      </c>
      <c r="PC55" s="131">
        <f t="shared" si="35"/>
        <v>854728.66</v>
      </c>
      <c r="PD55" s="132">
        <f t="shared" si="36"/>
        <v>0.29402193117251385</v>
      </c>
      <c r="PE55" s="133"/>
      <c r="PF55" s="134"/>
      <c r="PG55" s="133"/>
      <c r="PH55" s="134"/>
      <c r="PI55" s="135">
        <f t="shared" si="37"/>
        <v>1522887</v>
      </c>
      <c r="PJ55" s="136">
        <f t="shared" si="10"/>
        <v>4.6530422072366455E-2</v>
      </c>
      <c r="PK55" s="123"/>
      <c r="PL55" s="137">
        <f t="shared" si="38"/>
        <v>129138.66</v>
      </c>
      <c r="PM55" s="9">
        <f t="shared" si="39"/>
        <v>1652025.6600000001</v>
      </c>
      <c r="PN55" s="138">
        <f t="shared" si="40"/>
        <v>0.20225139180997165</v>
      </c>
      <c r="PO55" s="86">
        <f>IF(PI55="","",MAX(PI$15:PI55))</f>
        <v>1522887</v>
      </c>
      <c r="PP55" s="113">
        <f t="shared" si="11"/>
        <v>0</v>
      </c>
      <c r="PQ55" s="41"/>
      <c r="PR55" s="302"/>
    </row>
    <row r="56" spans="1:434" s="1" customFormat="1" ht="15" customHeight="1" x14ac:dyDescent="0.45">
      <c r="A56" s="18">
        <v>43835</v>
      </c>
      <c r="B56" s="3" t="s">
        <v>337</v>
      </c>
      <c r="C56" s="4">
        <v>55546</v>
      </c>
      <c r="D56" s="10"/>
      <c r="E56" s="10"/>
      <c r="F56" s="10"/>
      <c r="G56" s="4"/>
      <c r="H56" s="4"/>
      <c r="I56" s="4"/>
      <c r="J56" s="4"/>
      <c r="K56" s="4"/>
      <c r="L56" s="4"/>
      <c r="M56" s="4"/>
      <c r="N56" s="4"/>
      <c r="O56" s="10"/>
      <c r="P56" s="4"/>
      <c r="Q56" s="4"/>
      <c r="R56" s="4"/>
      <c r="S56" s="4">
        <v>24134</v>
      </c>
      <c r="T56" s="4"/>
      <c r="U56" s="10"/>
      <c r="V56" s="10"/>
      <c r="W56" s="10"/>
      <c r="X56" s="4"/>
      <c r="Y56" s="18" t="str">
        <f t="shared" si="45"/>
        <v/>
      </c>
      <c r="Z56" s="4"/>
      <c r="AA56" s="77">
        <f t="shared" si="21"/>
        <v>2.1669444800615462E-2</v>
      </c>
      <c r="AB56" s="8">
        <f t="shared" si="27"/>
        <v>79680</v>
      </c>
      <c r="AC56" s="2"/>
      <c r="AD56" s="7" t="s">
        <v>295</v>
      </c>
      <c r="AE56" s="4">
        <v>81529</v>
      </c>
      <c r="AF56" s="4">
        <v>379228</v>
      </c>
      <c r="AG56" s="4"/>
      <c r="AH56" s="4"/>
      <c r="AJ56" s="4"/>
      <c r="AK56" s="4"/>
      <c r="AL56" s="4"/>
      <c r="AM56" s="4"/>
      <c r="AO56" s="4"/>
      <c r="AP56" s="10"/>
      <c r="AQ56" s="4"/>
      <c r="AR56" s="4"/>
      <c r="AS56" s="4"/>
      <c r="AT56" s="4"/>
      <c r="AU56" s="4"/>
      <c r="AW56" s="4"/>
      <c r="AX56" s="4">
        <v>12291</v>
      </c>
      <c r="AY56" s="4"/>
      <c r="AZ56" s="4"/>
      <c r="BA56" s="4"/>
      <c r="BB56" s="4"/>
      <c r="BC56" s="4"/>
      <c r="BD56" s="4"/>
      <c r="BE56" s="4"/>
      <c r="BF56" s="4"/>
      <c r="BH56" s="4"/>
      <c r="BI56" s="4"/>
      <c r="BJ56" s="4"/>
      <c r="BK56" s="4"/>
      <c r="BL56" s="4"/>
      <c r="BM56" s="4">
        <v>20509</v>
      </c>
      <c r="BN56" s="4">
        <v>20965</v>
      </c>
      <c r="BO56" s="4"/>
      <c r="BP56" s="4"/>
      <c r="BQ56" s="4"/>
      <c r="BS56" s="10"/>
      <c r="BT56" s="4"/>
      <c r="BU56" s="4"/>
      <c r="BV56" s="4"/>
      <c r="BW56" s="4"/>
      <c r="CA56" s="4">
        <v>102708</v>
      </c>
      <c r="CB56" s="4"/>
      <c r="CC56" s="4">
        <v>19112</v>
      </c>
      <c r="CD56" s="4"/>
      <c r="CE56" s="4"/>
      <c r="CF56" s="4"/>
      <c r="CG56" s="4"/>
      <c r="CH56" s="4"/>
      <c r="CI56" s="4"/>
      <c r="CJ56" s="10"/>
      <c r="CK56" s="4"/>
      <c r="CL56" s="10"/>
      <c r="CN56" s="4"/>
      <c r="CO56" s="10"/>
      <c r="CP56" s="4"/>
      <c r="CQ56" s="4">
        <v>18454</v>
      </c>
      <c r="CR56" s="10"/>
      <c r="CS56" s="4"/>
      <c r="CT56" s="4"/>
      <c r="CU56" s="4">
        <v>21855</v>
      </c>
      <c r="CV56" s="4"/>
      <c r="CW56" s="4"/>
      <c r="CX56" s="4"/>
      <c r="CY56" s="77">
        <f t="shared" si="46"/>
        <v>6.0647781947508967E-3</v>
      </c>
      <c r="CZ56" s="8">
        <f t="shared" si="28"/>
        <v>676651</v>
      </c>
      <c r="DA56" s="2"/>
      <c r="DH56" s="4"/>
      <c r="DJ56" s="4"/>
      <c r="DX56" s="2"/>
      <c r="DY56" s="32"/>
      <c r="DZ56" s="4">
        <v>5</v>
      </c>
      <c r="EA56" s="32"/>
      <c r="EB56" s="32"/>
      <c r="EC56" s="32"/>
      <c r="ED56" s="32"/>
      <c r="EE56" s="4"/>
      <c r="EF56" s="4"/>
      <c r="EG56" s="32"/>
      <c r="EH56" s="32"/>
      <c r="EI56" s="32"/>
      <c r="EJ56" s="32"/>
      <c r="EK56" s="5"/>
      <c r="EO56" s="2"/>
      <c r="EQ56" s="468" t="s">
        <v>1</v>
      </c>
      <c r="ER56"/>
      <c r="ES56" s="6" t="s">
        <v>338</v>
      </c>
      <c r="ET56" s="10"/>
      <c r="EU56" s="10"/>
      <c r="EV56" s="10"/>
      <c r="EW56" s="10"/>
      <c r="EX56" s="4">
        <v>8355</v>
      </c>
      <c r="EY56" s="4">
        <v>19333</v>
      </c>
      <c r="EZ56" s="4"/>
      <c r="FA56" s="4"/>
      <c r="FB56" s="4"/>
      <c r="FC56" s="4"/>
      <c r="FD56" s="4"/>
      <c r="FE56" s="4"/>
      <c r="FF56" s="4"/>
      <c r="FG56" s="4"/>
      <c r="FH56" s="10">
        <v>19052</v>
      </c>
      <c r="FI56" s="10"/>
      <c r="FJ56" s="10"/>
      <c r="FK56" s="10">
        <v>20440</v>
      </c>
      <c r="FL56" s="10">
        <v>14515</v>
      </c>
      <c r="FM56" s="10">
        <v>22228</v>
      </c>
      <c r="FN56" s="4"/>
      <c r="FO56" s="4"/>
      <c r="FP56" s="10"/>
      <c r="FQ56" s="4"/>
      <c r="FR56" s="4"/>
      <c r="FS56" s="10">
        <v>23131</v>
      </c>
      <c r="FT56" s="4"/>
      <c r="FU56" s="4"/>
      <c r="FV56" s="4"/>
      <c r="FW56" s="4"/>
      <c r="FX56" s="4"/>
      <c r="FY56" s="4"/>
      <c r="FZ56" s="10">
        <v>14352</v>
      </c>
      <c r="GA56" s="10">
        <v>22532</v>
      </c>
      <c r="GB56" s="10">
        <v>6836</v>
      </c>
      <c r="GC56" s="10"/>
      <c r="GD56" s="4"/>
      <c r="GE56" s="4"/>
      <c r="GF56" s="4">
        <v>18816</v>
      </c>
      <c r="GG56" s="4"/>
      <c r="GH56" s="4"/>
      <c r="GI56" s="4"/>
      <c r="GJ56" s="4">
        <v>19132</v>
      </c>
      <c r="GK56" s="4"/>
      <c r="GL56" s="4"/>
      <c r="GM56" s="4">
        <v>21319</v>
      </c>
      <c r="GN56" s="10"/>
      <c r="GO56" s="10">
        <v>25305</v>
      </c>
      <c r="GP56" s="4"/>
      <c r="GQ56" s="10"/>
      <c r="GR56" s="4">
        <v>17193</v>
      </c>
      <c r="GS56" s="10">
        <v>16341</v>
      </c>
      <c r="GT56" s="4">
        <v>24134</v>
      </c>
      <c r="GU56" s="10"/>
      <c r="GV56" s="4"/>
      <c r="GW56" s="10">
        <v>19006</v>
      </c>
      <c r="GX56" s="10">
        <v>24160</v>
      </c>
      <c r="GY56" s="10"/>
      <c r="GZ56" s="10"/>
      <c r="HA56" s="18"/>
      <c r="HB56" s="4"/>
      <c r="HC56" s="77">
        <f t="shared" si="22"/>
        <v>1.1027689862189358E-2</v>
      </c>
      <c r="HD56" s="8">
        <f t="shared" si="29"/>
        <v>356180</v>
      </c>
      <c r="HE56" s="2"/>
      <c r="HF56" s="3" t="s">
        <v>339</v>
      </c>
      <c r="HG56" s="4">
        <v>17547</v>
      </c>
      <c r="HH56" s="4"/>
      <c r="HI56" s="4"/>
      <c r="HJ56" s="4"/>
      <c r="HK56" s="4"/>
      <c r="HL56" s="4"/>
      <c r="HM56" s="4"/>
      <c r="HN56" s="4"/>
      <c r="HO56" s="4"/>
      <c r="HP56" s="4">
        <v>18388</v>
      </c>
      <c r="HQ56" s="4"/>
      <c r="HR56" s="4"/>
      <c r="HS56" s="4"/>
      <c r="HT56" s="10">
        <v>18458</v>
      </c>
      <c r="HU56" s="10"/>
      <c r="HV56" s="4"/>
      <c r="HW56" s="4"/>
      <c r="HX56" s="4"/>
      <c r="HY56" s="4"/>
      <c r="HZ56" s="4"/>
      <c r="IA56" s="4"/>
      <c r="IB56" s="4"/>
      <c r="IC56" s="4">
        <v>18394</v>
      </c>
      <c r="ID56" s="10"/>
      <c r="IE56" s="4"/>
      <c r="IF56" s="10">
        <v>19778</v>
      </c>
      <c r="IG56" s="4"/>
      <c r="IH56" s="4"/>
      <c r="II56" s="4"/>
      <c r="IJ56" s="4"/>
      <c r="IK56" s="4"/>
      <c r="IL56" s="4"/>
      <c r="IM56" s="4"/>
      <c r="IN56" s="4"/>
      <c r="IO56" s="4"/>
      <c r="IP56" s="4"/>
      <c r="IQ56" s="4"/>
      <c r="IR56" s="4">
        <v>20509</v>
      </c>
      <c r="IS56" s="4">
        <v>20965</v>
      </c>
      <c r="IT56" s="10">
        <v>30050</v>
      </c>
      <c r="IU56" s="4"/>
      <c r="IV56" s="4"/>
      <c r="IW56" s="4"/>
      <c r="IX56" s="10">
        <v>27668</v>
      </c>
      <c r="IY56" s="4"/>
      <c r="IZ56" s="4"/>
      <c r="JA56" s="4"/>
      <c r="JB56" s="4"/>
      <c r="JC56" s="4"/>
      <c r="JD56" s="4"/>
      <c r="JE56" s="4"/>
      <c r="JF56" s="10">
        <v>15106</v>
      </c>
      <c r="JG56" s="10"/>
      <c r="JH56" s="10"/>
      <c r="JI56" s="4"/>
      <c r="JJ56" s="4"/>
      <c r="JK56" s="4"/>
      <c r="JL56" s="4">
        <v>22813</v>
      </c>
      <c r="JM56" s="4"/>
      <c r="JN56" s="10"/>
      <c r="JO56" s="10"/>
      <c r="JP56" s="4"/>
      <c r="JQ56" s="4"/>
      <c r="JR56" s="4"/>
      <c r="JS56" s="4"/>
      <c r="JT56" s="4"/>
      <c r="JU56" s="10">
        <v>15210</v>
      </c>
      <c r="JV56" s="4"/>
      <c r="JW56" s="4"/>
      <c r="JX56" s="4"/>
      <c r="JY56" s="4"/>
      <c r="JZ56" s="4"/>
      <c r="KA56" s="4">
        <v>16090</v>
      </c>
      <c r="KB56" s="4"/>
      <c r="KC56" s="4"/>
      <c r="KD56" s="10">
        <v>16578</v>
      </c>
      <c r="KE56" s="10">
        <v>21169</v>
      </c>
      <c r="KF56" s="10"/>
      <c r="KG56" s="4"/>
      <c r="KH56" s="10"/>
      <c r="KI56" s="10"/>
      <c r="KJ56" s="10">
        <v>19363</v>
      </c>
      <c r="KK56" s="10">
        <v>18304</v>
      </c>
      <c r="KL56" s="4">
        <v>18454</v>
      </c>
      <c r="KM56" s="10"/>
      <c r="KN56" s="4"/>
      <c r="KO56" s="4"/>
      <c r="KP56" s="4">
        <v>21855</v>
      </c>
      <c r="KQ56" s="4"/>
      <c r="KR56" s="10"/>
      <c r="KS56" s="4">
        <v>23063</v>
      </c>
      <c r="KT56" s="4"/>
      <c r="KU56" s="4"/>
      <c r="KV56" s="4"/>
      <c r="KW56" s="4"/>
      <c r="KX56" s="18"/>
      <c r="KY56" s="4"/>
      <c r="KZ56" s="77">
        <f t="shared" si="23"/>
        <v>1.644312793195947E-2</v>
      </c>
      <c r="LA56" s="8">
        <f t="shared" si="30"/>
        <v>399762</v>
      </c>
      <c r="LB56" s="2"/>
      <c r="LC56" s="43"/>
      <c r="MO56" s="172"/>
      <c r="NO56" s="77"/>
      <c r="NP56" s="63"/>
      <c r="NQ56"/>
      <c r="NR56" s="77" t="e">
        <f t="shared" si="24"/>
        <v>#DIV/0!</v>
      </c>
      <c r="NS56" s="8">
        <f t="shared" si="42"/>
        <v>0</v>
      </c>
      <c r="NT56" s="2"/>
      <c r="NU56" s="3" t="s">
        <v>295</v>
      </c>
      <c r="NV56" s="4">
        <v>5</v>
      </c>
      <c r="NW56" s="4"/>
      <c r="NX56" s="4"/>
      <c r="NY56" s="4"/>
      <c r="NZ56" s="4"/>
      <c r="OA56" s="4"/>
      <c r="OB56" s="4"/>
      <c r="OC56" s="4">
        <v>27598</v>
      </c>
      <c r="OD56" s="4"/>
      <c r="OE56" s="77">
        <f t="shared" si="25"/>
        <v>3.2466803815223488E-2</v>
      </c>
      <c r="OF56" s="8">
        <f t="shared" si="43"/>
        <v>27603</v>
      </c>
      <c r="OG56" s="2"/>
      <c r="OJ56" s="40"/>
      <c r="OK56" s="40"/>
      <c r="OL56" s="40"/>
      <c r="OM56" s="40"/>
      <c r="ON56" s="40"/>
      <c r="OO56" s="40"/>
      <c r="OQ56" s="40"/>
      <c r="OR56" s="77"/>
      <c r="OS56" s="35"/>
      <c r="OT56" s="37"/>
      <c r="OU56" s="126">
        <f t="shared" si="31"/>
        <v>783934</v>
      </c>
      <c r="OV56" s="71">
        <f t="shared" si="44"/>
        <v>8.5385637664882278E-3</v>
      </c>
      <c r="OW56" s="139">
        <f>IF(A56="","",SUM(Z$17:Z56))</f>
        <v>20000</v>
      </c>
      <c r="OX56" s="139">
        <f t="shared" si="32"/>
        <v>803934</v>
      </c>
      <c r="OY56" s="132">
        <f t="shared" si="33"/>
        <v>0.12660649197226975</v>
      </c>
      <c r="OZ56" s="140">
        <f t="shared" si="34"/>
        <v>755942</v>
      </c>
      <c r="PA56" s="84">
        <f t="shared" si="47"/>
        <v>1.3884306388229456E-2</v>
      </c>
      <c r="PB56" s="130">
        <f>IF(A56="","",SUM(HB$17:HB56)+SUM(KY$17:KY56))</f>
        <v>109138.66</v>
      </c>
      <c r="PC56" s="131">
        <f t="shared" si="35"/>
        <v>865080.66</v>
      </c>
      <c r="PD56" s="132">
        <f t="shared" si="36"/>
        <v>0.30969440789921898</v>
      </c>
      <c r="PE56" s="133"/>
      <c r="PF56" s="134"/>
      <c r="PG56" s="133"/>
      <c r="PH56" s="134"/>
      <c r="PI56" s="135">
        <f t="shared" si="37"/>
        <v>1539876</v>
      </c>
      <c r="PJ56" s="136">
        <f t="shared" si="10"/>
        <v>1.1155785031982019E-2</v>
      </c>
      <c r="PK56" s="123"/>
      <c r="PL56" s="137">
        <f t="shared" si="38"/>
        <v>129138.66</v>
      </c>
      <c r="PM56" s="9">
        <f t="shared" si="39"/>
        <v>1669014.6600000001</v>
      </c>
      <c r="PN56" s="138">
        <f t="shared" si="40"/>
        <v>0.21461503081994901</v>
      </c>
      <c r="PO56" s="86">
        <f>IF(PI56="","",MAX(PI$15:PI56))</f>
        <v>1539876</v>
      </c>
      <c r="PP56" s="113">
        <f t="shared" si="11"/>
        <v>0</v>
      </c>
      <c r="PQ56" s="41"/>
      <c r="PR56" s="302"/>
    </row>
    <row r="57" spans="1:434" s="1" customFormat="1" ht="15" customHeight="1" x14ac:dyDescent="0.45">
      <c r="A57" s="18">
        <v>43864</v>
      </c>
      <c r="B57" s="3" t="s">
        <v>340</v>
      </c>
      <c r="C57" s="4">
        <v>145</v>
      </c>
      <c r="D57" s="10"/>
      <c r="E57" s="10"/>
      <c r="F57" s="10"/>
      <c r="G57" s="4">
        <v>56107</v>
      </c>
      <c r="H57" s="4"/>
      <c r="I57" s="4"/>
      <c r="J57" s="4"/>
      <c r="K57" s="4"/>
      <c r="L57" s="4"/>
      <c r="M57" s="4"/>
      <c r="N57" s="4"/>
      <c r="O57" s="4"/>
      <c r="P57" s="4"/>
      <c r="Q57" s="4"/>
      <c r="R57" s="4"/>
      <c r="S57" s="4">
        <v>23573</v>
      </c>
      <c r="T57" s="4"/>
      <c r="U57" s="4"/>
      <c r="V57" s="4"/>
      <c r="W57" s="4"/>
      <c r="X57" s="4"/>
      <c r="Y57" s="18">
        <f t="shared" si="45"/>
        <v>43839</v>
      </c>
      <c r="Z57" s="4"/>
      <c r="AA57" s="77">
        <f t="shared" si="21"/>
        <v>1.8197791164658635E-3</v>
      </c>
      <c r="AB57" s="8">
        <f t="shared" si="27"/>
        <v>79825</v>
      </c>
      <c r="AC57" s="2"/>
      <c r="AD57" s="3" t="s">
        <v>341</v>
      </c>
      <c r="AE57" s="4">
        <v>888</v>
      </c>
      <c r="AF57" s="4">
        <v>381373</v>
      </c>
      <c r="AG57" s="4"/>
      <c r="AH57" s="4"/>
      <c r="AJ57" s="4"/>
      <c r="AK57" s="4"/>
      <c r="AL57" s="4"/>
      <c r="AM57" s="4"/>
      <c r="AO57" s="4"/>
      <c r="AP57" s="10"/>
      <c r="AQ57" s="4"/>
      <c r="AR57" s="4"/>
      <c r="AS57" s="4"/>
      <c r="AT57" s="4"/>
      <c r="AU57" s="4">
        <v>69131</v>
      </c>
      <c r="AW57" s="4"/>
      <c r="AX57" s="4">
        <v>12485</v>
      </c>
      <c r="AY57" s="4"/>
      <c r="AZ57" s="4">
        <v>13159</v>
      </c>
      <c r="BA57" s="4"/>
      <c r="BB57" s="4"/>
      <c r="BC57" s="4"/>
      <c r="BD57" s="4"/>
      <c r="BE57" s="4"/>
      <c r="BF57" s="4"/>
      <c r="BH57" s="4"/>
      <c r="BI57" s="4"/>
      <c r="BJ57" s="4"/>
      <c r="BK57" s="4"/>
      <c r="BL57" s="4"/>
      <c r="BM57" s="4">
        <v>20262</v>
      </c>
      <c r="BN57" s="4">
        <v>20304</v>
      </c>
      <c r="BO57" s="4"/>
      <c r="BP57" s="4"/>
      <c r="BQ57" s="4"/>
      <c r="BS57" s="10"/>
      <c r="BT57" s="4"/>
      <c r="BU57" s="4"/>
      <c r="BV57" s="4"/>
      <c r="BW57" s="4"/>
      <c r="CA57" s="4">
        <v>103403</v>
      </c>
      <c r="CB57" s="4"/>
      <c r="CC57" s="4">
        <v>19212</v>
      </c>
      <c r="CD57" s="4"/>
      <c r="CE57" s="4"/>
      <c r="CF57" s="4"/>
      <c r="CG57" s="4"/>
      <c r="CH57" s="4"/>
      <c r="CI57" s="4"/>
      <c r="CJ57" s="10"/>
      <c r="CK57" s="4"/>
      <c r="CL57" s="10"/>
      <c r="CN57" s="4"/>
      <c r="CO57" s="10"/>
      <c r="CP57" s="4"/>
      <c r="CQ57" s="4">
        <v>18840</v>
      </c>
      <c r="CR57" s="10"/>
      <c r="CS57" s="4"/>
      <c r="CT57" s="4"/>
      <c r="CU57" s="4">
        <v>23175</v>
      </c>
      <c r="CV57" s="4"/>
      <c r="CW57" s="4"/>
      <c r="CX57" s="4"/>
      <c r="CY57" s="77">
        <f t="shared" si="46"/>
        <v>8.2479742141813132E-3</v>
      </c>
      <c r="CZ57" s="8">
        <f t="shared" si="28"/>
        <v>682232</v>
      </c>
      <c r="DA57" s="2"/>
      <c r="DH57" s="4"/>
      <c r="DJ57" s="4"/>
      <c r="DX57" s="2"/>
      <c r="DY57" s="32"/>
      <c r="DZ57" s="4">
        <v>84</v>
      </c>
      <c r="EA57" s="32"/>
      <c r="EB57" s="32"/>
      <c r="EC57" s="32"/>
      <c r="ED57" s="32"/>
      <c r="EE57" s="4"/>
      <c r="EF57" s="4"/>
      <c r="EG57" s="32"/>
      <c r="EH57" s="32"/>
      <c r="EI57" s="32"/>
      <c r="EJ57" s="32"/>
      <c r="EK57" s="5"/>
      <c r="EO57" s="2"/>
      <c r="EQ57" s="468" t="s">
        <v>1</v>
      </c>
      <c r="ER57"/>
      <c r="ES57" s="6" t="s">
        <v>317</v>
      </c>
      <c r="ET57" s="10"/>
      <c r="EU57" s="10"/>
      <c r="EV57" s="10"/>
      <c r="EW57" s="10"/>
      <c r="EX57" s="4">
        <v>7915</v>
      </c>
      <c r="EY57" s="4">
        <v>20066</v>
      </c>
      <c r="EZ57" s="4"/>
      <c r="FA57" s="4"/>
      <c r="FB57" s="4"/>
      <c r="FC57" s="4"/>
      <c r="FD57" s="4"/>
      <c r="FE57" s="4"/>
      <c r="FF57" s="4"/>
      <c r="FG57" s="4"/>
      <c r="FH57" s="10">
        <v>18612</v>
      </c>
      <c r="FI57" s="10"/>
      <c r="FJ57" s="10"/>
      <c r="FK57" s="10">
        <v>21463</v>
      </c>
      <c r="FL57" s="10">
        <v>14040</v>
      </c>
      <c r="FM57" s="10">
        <v>19886</v>
      </c>
      <c r="FN57" s="4"/>
      <c r="FO57" s="4"/>
      <c r="FP57" s="10"/>
      <c r="FQ57" s="4"/>
      <c r="FR57" s="4"/>
      <c r="FS57" s="10">
        <v>25235</v>
      </c>
      <c r="FT57" s="4"/>
      <c r="FU57" s="4"/>
      <c r="FV57" s="4"/>
      <c r="FW57" s="4"/>
      <c r="FX57" s="4"/>
      <c r="FY57" s="4"/>
      <c r="FZ57" s="10">
        <v>14099</v>
      </c>
      <c r="GA57" s="10">
        <v>24299</v>
      </c>
      <c r="GB57" s="10">
        <v>7173</v>
      </c>
      <c r="GC57" s="10"/>
      <c r="GD57" s="4"/>
      <c r="GE57" s="4"/>
      <c r="GF57" s="4">
        <v>18583</v>
      </c>
      <c r="GG57" s="4"/>
      <c r="GH57" s="4"/>
      <c r="GI57" s="4"/>
      <c r="GJ57" s="4">
        <v>18702</v>
      </c>
      <c r="GK57" s="4"/>
      <c r="GL57" s="4"/>
      <c r="GM57" s="4">
        <v>20681</v>
      </c>
      <c r="GN57" s="10"/>
      <c r="GO57" s="10">
        <v>23016</v>
      </c>
      <c r="GP57" s="4"/>
      <c r="GQ57" s="10"/>
      <c r="GR57" s="4">
        <v>12617</v>
      </c>
      <c r="GS57" s="10">
        <v>14255</v>
      </c>
      <c r="GT57" s="4">
        <v>23573</v>
      </c>
      <c r="GU57" s="10"/>
      <c r="GV57" s="4"/>
      <c r="GW57" s="10">
        <v>17961</v>
      </c>
      <c r="GX57" s="10">
        <v>23254</v>
      </c>
      <c r="GY57" s="10"/>
      <c r="GZ57" s="10"/>
      <c r="HA57" s="18">
        <v>43839</v>
      </c>
      <c r="HB57" s="4">
        <v>878.54</v>
      </c>
      <c r="HC57" s="77">
        <f t="shared" si="22"/>
        <v>-3.018136897074513E-2</v>
      </c>
      <c r="HD57" s="8">
        <f t="shared" si="29"/>
        <v>345430</v>
      </c>
      <c r="HE57" s="2"/>
      <c r="HF57" s="3" t="s">
        <v>342</v>
      </c>
      <c r="HG57" s="4">
        <v>15954</v>
      </c>
      <c r="HH57" s="4"/>
      <c r="HI57" s="4"/>
      <c r="HJ57" s="4"/>
      <c r="HK57" s="4"/>
      <c r="HL57" s="4"/>
      <c r="HM57" s="4"/>
      <c r="HN57" s="4"/>
      <c r="HO57" s="4"/>
      <c r="HP57" s="4">
        <v>18756</v>
      </c>
      <c r="HQ57" s="4"/>
      <c r="HR57" s="4"/>
      <c r="HS57" s="4"/>
      <c r="HT57" s="10">
        <v>18288</v>
      </c>
      <c r="HU57" s="10"/>
      <c r="HV57" s="4"/>
      <c r="HW57" s="4"/>
      <c r="HX57" s="4"/>
      <c r="HY57" s="4"/>
      <c r="HZ57" s="4"/>
      <c r="IA57" s="4"/>
      <c r="IB57" s="4"/>
      <c r="IC57" s="4">
        <v>19541</v>
      </c>
      <c r="ID57" s="10"/>
      <c r="IE57" s="4"/>
      <c r="IF57" s="10">
        <v>18931</v>
      </c>
      <c r="IG57" s="4"/>
      <c r="IH57" s="4"/>
      <c r="II57" s="4"/>
      <c r="IJ57" s="4"/>
      <c r="IK57" s="4"/>
      <c r="IL57" s="4"/>
      <c r="IM57" s="4"/>
      <c r="IN57" s="4"/>
      <c r="IO57" s="4"/>
      <c r="IP57" s="4"/>
      <c r="IQ57" s="4"/>
      <c r="IR57" s="4">
        <v>20262</v>
      </c>
      <c r="IS57" s="4">
        <v>20304</v>
      </c>
      <c r="IT57" s="10">
        <v>25760</v>
      </c>
      <c r="IU57" s="4"/>
      <c r="IV57" s="4"/>
      <c r="IW57" s="4"/>
      <c r="IX57" s="10">
        <v>26666</v>
      </c>
      <c r="IY57" s="4"/>
      <c r="IZ57" s="4"/>
      <c r="JA57" s="4"/>
      <c r="JB57" s="4"/>
      <c r="JC57" s="4"/>
      <c r="JD57" s="4"/>
      <c r="JE57" s="4"/>
      <c r="JF57" s="10">
        <v>20879</v>
      </c>
      <c r="JG57" s="10"/>
      <c r="JH57" s="10"/>
      <c r="JI57" s="4"/>
      <c r="JJ57" s="4"/>
      <c r="JK57" s="4"/>
      <c r="JL57" s="4">
        <v>21828</v>
      </c>
      <c r="JM57" s="4"/>
      <c r="JN57" s="10"/>
      <c r="JO57" s="10"/>
      <c r="JP57" s="4"/>
      <c r="JQ57" s="4"/>
      <c r="JR57" s="4"/>
      <c r="JS57" s="4"/>
      <c r="JT57" s="4"/>
      <c r="JU57" s="10">
        <v>12548</v>
      </c>
      <c r="JV57" s="4"/>
      <c r="JW57" s="4"/>
      <c r="JX57" s="4"/>
      <c r="JY57" s="4"/>
      <c r="JZ57" s="4"/>
      <c r="KA57" s="4">
        <v>14772</v>
      </c>
      <c r="KB57" s="4"/>
      <c r="KC57" s="4"/>
      <c r="KD57" s="10">
        <v>16185</v>
      </c>
      <c r="KE57" s="10">
        <v>21304</v>
      </c>
      <c r="KF57" s="10"/>
      <c r="KG57" s="4"/>
      <c r="KH57" s="10"/>
      <c r="KI57" s="10"/>
      <c r="KJ57" s="10">
        <v>18971</v>
      </c>
      <c r="KK57" s="10">
        <v>16052</v>
      </c>
      <c r="KL57" s="4">
        <v>18840</v>
      </c>
      <c r="KM57" s="10"/>
      <c r="KN57" s="4"/>
      <c r="KO57" s="4"/>
      <c r="KP57" s="4">
        <v>23175</v>
      </c>
      <c r="KQ57" s="4"/>
      <c r="KR57" s="10"/>
      <c r="KS57" s="4">
        <v>22624</v>
      </c>
      <c r="KT57" s="4"/>
      <c r="KU57" s="4"/>
      <c r="KV57" s="4"/>
      <c r="KW57" s="4"/>
      <c r="KX57" s="18">
        <v>43839</v>
      </c>
      <c r="KY57" s="4">
        <v>1004.07</v>
      </c>
      <c r="KZ57" s="77">
        <f t="shared" si="23"/>
        <v>-2.0317088667757315E-2</v>
      </c>
      <c r="LA57" s="8">
        <f t="shared" si="30"/>
        <v>391640</v>
      </c>
      <c r="LB57" s="2"/>
      <c r="LC57" s="43"/>
      <c r="MO57" s="172"/>
      <c r="NO57" s="77"/>
      <c r="NP57" s="63"/>
      <c r="NQ57"/>
      <c r="NR57" s="77" t="e">
        <f t="shared" si="24"/>
        <v>#DIV/0!</v>
      </c>
      <c r="NS57" s="8">
        <f t="shared" si="42"/>
        <v>0</v>
      </c>
      <c r="NT57" s="2"/>
      <c r="NU57" s="3" t="s">
        <v>343</v>
      </c>
      <c r="NV57" s="4">
        <v>84</v>
      </c>
      <c r="NW57" s="4">
        <v>27462</v>
      </c>
      <c r="NX57" s="4"/>
      <c r="NY57" s="4"/>
      <c r="NZ57" s="4"/>
      <c r="OA57" s="4"/>
      <c r="OB57" s="4"/>
      <c r="OC57" s="4"/>
      <c r="OD57" s="4"/>
      <c r="OE57" s="77">
        <f t="shared" si="25"/>
        <v>-2.0649929355504837E-3</v>
      </c>
      <c r="OF57" s="8">
        <f t="shared" si="43"/>
        <v>27546</v>
      </c>
      <c r="OG57" s="2"/>
      <c r="OJ57" s="40"/>
      <c r="OK57" s="40"/>
      <c r="OL57" s="40"/>
      <c r="OM57" s="40"/>
      <c r="ON57" s="40"/>
      <c r="OO57" s="40"/>
      <c r="OQ57" s="40"/>
      <c r="OR57" s="77"/>
      <c r="OS57" s="35"/>
      <c r="OT57" s="37"/>
      <c r="OU57" s="126">
        <f t="shared" si="31"/>
        <v>789603</v>
      </c>
      <c r="OV57" s="71">
        <f t="shared" si="44"/>
        <v>7.2314761191630932E-3</v>
      </c>
      <c r="OW57" s="139">
        <f>IF(A57="","",SUM(Z$17:Z57))</f>
        <v>20000</v>
      </c>
      <c r="OX57" s="139">
        <f t="shared" si="32"/>
        <v>809603</v>
      </c>
      <c r="OY57" s="132">
        <f t="shared" si="33"/>
        <v>0.1345508408902043</v>
      </c>
      <c r="OZ57" s="140">
        <f t="shared" si="34"/>
        <v>737070</v>
      </c>
      <c r="PA57" s="84">
        <f t="shared" si="47"/>
        <v>-2.496487825785576E-2</v>
      </c>
      <c r="PB57" s="130">
        <f>IF(A57="","",SUM(HB$17:HB57)+SUM(KY$17:KY57))</f>
        <v>111021.26999999999</v>
      </c>
      <c r="PC57" s="131">
        <f t="shared" si="35"/>
        <v>848091.27</v>
      </c>
      <c r="PD57" s="132">
        <f t="shared" si="36"/>
        <v>0.2839732120553321</v>
      </c>
      <c r="PE57" s="133"/>
      <c r="PF57" s="134"/>
      <c r="PG57" s="133"/>
      <c r="PH57" s="134"/>
      <c r="PI57" s="135">
        <f t="shared" si="37"/>
        <v>1526673</v>
      </c>
      <c r="PJ57" s="136">
        <f t="shared" si="10"/>
        <v>-8.5740670027976279E-3</v>
      </c>
      <c r="PK57" s="123"/>
      <c r="PL57" s="137">
        <f t="shared" si="38"/>
        <v>131021.26999999999</v>
      </c>
      <c r="PM57" s="9">
        <f t="shared" si="39"/>
        <v>1657694.27</v>
      </c>
      <c r="PN57" s="138">
        <f t="shared" si="40"/>
        <v>0.20637668745588056</v>
      </c>
      <c r="PO57" s="86">
        <f>IF(PI57="","",MAX(PI$15:PI57))</f>
        <v>1539876</v>
      </c>
      <c r="PP57" s="113">
        <f t="shared" si="11"/>
        <v>-8.6482173982247671E-3</v>
      </c>
      <c r="PQ57" s="41"/>
      <c r="PR57" s="302"/>
    </row>
    <row r="58" spans="1:434" s="1" customFormat="1" ht="15" customHeight="1" x14ac:dyDescent="0.45">
      <c r="A58" s="18">
        <v>43891</v>
      </c>
      <c r="B58" s="3" t="s">
        <v>344</v>
      </c>
      <c r="C58" s="4">
        <v>2534</v>
      </c>
      <c r="D58" s="10"/>
      <c r="E58" s="10"/>
      <c r="F58" s="10"/>
      <c r="G58" s="4">
        <v>47538</v>
      </c>
      <c r="H58" s="4"/>
      <c r="I58" s="4"/>
      <c r="J58" s="4"/>
      <c r="K58" s="4"/>
      <c r="L58" s="4"/>
      <c r="M58" s="4"/>
      <c r="N58" s="4"/>
      <c r="O58" s="10"/>
      <c r="P58" s="4"/>
      <c r="Q58" s="4"/>
      <c r="R58" s="29"/>
      <c r="S58" s="4">
        <v>21709</v>
      </c>
      <c r="T58" s="4"/>
      <c r="U58" s="30"/>
      <c r="V58" s="30"/>
      <c r="W58" s="30"/>
      <c r="X58" s="4"/>
      <c r="Y58" s="18" t="str">
        <f t="shared" si="45"/>
        <v/>
      </c>
      <c r="Z58" s="4"/>
      <c r="AA58" s="77">
        <f t="shared" si="21"/>
        <v>-0.10077043532727842</v>
      </c>
      <c r="AB58" s="8">
        <f t="shared" si="27"/>
        <v>71781</v>
      </c>
      <c r="AC58" s="2"/>
      <c r="AD58" s="3"/>
      <c r="AE58" s="4">
        <v>1405</v>
      </c>
      <c r="AF58" s="4">
        <v>382556</v>
      </c>
      <c r="AG58" s="4"/>
      <c r="AH58" s="4"/>
      <c r="AJ58" s="4"/>
      <c r="AK58" s="4"/>
      <c r="AL58" s="4"/>
      <c r="AM58" s="4"/>
      <c r="AO58" s="4"/>
      <c r="AP58" s="10"/>
      <c r="AQ58" s="4"/>
      <c r="AR58" s="4"/>
      <c r="AS58" s="4"/>
      <c r="AT58" s="4"/>
      <c r="AU58" s="4">
        <v>69761</v>
      </c>
      <c r="AW58" s="4"/>
      <c r="AX58" s="4">
        <v>12340</v>
      </c>
      <c r="AY58" s="4"/>
      <c r="AZ58" s="4">
        <v>13305</v>
      </c>
      <c r="BA58" s="4"/>
      <c r="BB58" s="4"/>
      <c r="BC58" s="4"/>
      <c r="BD58" s="4"/>
      <c r="BE58" s="4"/>
      <c r="BF58" s="4"/>
      <c r="BH58" s="4"/>
      <c r="BI58" s="4"/>
      <c r="BJ58" s="4"/>
      <c r="BK58" s="4"/>
      <c r="BL58" s="4"/>
      <c r="BM58" s="4">
        <v>18145</v>
      </c>
      <c r="BN58" s="4">
        <v>18198</v>
      </c>
      <c r="BO58" s="4"/>
      <c r="BP58" s="4"/>
      <c r="BQ58" s="4"/>
      <c r="BS58" s="10"/>
      <c r="BT58" s="4"/>
      <c r="BU58" s="4"/>
      <c r="BV58" s="4"/>
      <c r="BW58" s="4"/>
      <c r="CA58" s="4">
        <v>102461</v>
      </c>
      <c r="CB58" s="4"/>
      <c r="CC58" s="4">
        <v>19229</v>
      </c>
      <c r="CD58" s="4"/>
      <c r="CE58" s="4"/>
      <c r="CF58" s="4"/>
      <c r="CG58" s="4"/>
      <c r="CH58" s="4"/>
      <c r="CI58" s="4"/>
      <c r="CJ58" s="10"/>
      <c r="CK58" s="4"/>
      <c r="CL58" s="10"/>
      <c r="CN58" s="4"/>
      <c r="CO58" s="10"/>
      <c r="CP58" s="4"/>
      <c r="CQ58" s="4">
        <v>17466</v>
      </c>
      <c r="CR58" s="10"/>
      <c r="CS58" s="4"/>
      <c r="CT58" s="4"/>
      <c r="CU58" s="4">
        <v>22575</v>
      </c>
      <c r="CV58" s="4"/>
      <c r="CW58" s="4"/>
      <c r="CX58" s="4"/>
      <c r="CY58" s="77">
        <f t="shared" si="46"/>
        <v>-7.0225377877320321E-3</v>
      </c>
      <c r="CZ58" s="8">
        <f t="shared" si="28"/>
        <v>677441</v>
      </c>
      <c r="DA58" s="2"/>
      <c r="DH58" s="4"/>
      <c r="DJ58" s="4"/>
      <c r="DX58" s="2"/>
      <c r="DY58" s="32"/>
      <c r="DZ58" s="4">
        <v>7087</v>
      </c>
      <c r="EA58" s="32"/>
      <c r="EB58" s="32"/>
      <c r="EC58" s="32"/>
      <c r="ED58" s="32"/>
      <c r="EE58" s="4"/>
      <c r="EF58" s="4"/>
      <c r="EG58" s="32"/>
      <c r="EH58" s="32"/>
      <c r="EI58" s="32"/>
      <c r="EJ58" s="32"/>
      <c r="EK58" s="5"/>
      <c r="EO58" s="2"/>
      <c r="EQ58" s="468" t="s">
        <v>1</v>
      </c>
      <c r="ER58"/>
      <c r="ES58" s="6" t="s">
        <v>345</v>
      </c>
      <c r="ET58" s="10"/>
      <c r="EU58" s="10"/>
      <c r="EV58" s="10"/>
      <c r="EW58" s="10"/>
      <c r="EX58" s="4">
        <f>2391+4171</f>
        <v>6562</v>
      </c>
      <c r="EY58" s="4">
        <v>17768</v>
      </c>
      <c r="EZ58" s="4"/>
      <c r="FA58" s="4"/>
      <c r="FB58" s="4"/>
      <c r="FC58" s="4"/>
      <c r="FD58" s="4"/>
      <c r="FE58" s="4"/>
      <c r="FF58" s="4"/>
      <c r="FG58" s="4"/>
      <c r="FH58" s="10">
        <v>15972</v>
      </c>
      <c r="FI58" s="10"/>
      <c r="FJ58" s="10"/>
      <c r="FK58" s="10">
        <v>19545</v>
      </c>
      <c r="FL58" s="10">
        <v>11533</v>
      </c>
      <c r="FM58" s="10">
        <v>17379</v>
      </c>
      <c r="FN58" s="4"/>
      <c r="FO58" s="4"/>
      <c r="FP58" s="10"/>
      <c r="FQ58" s="4"/>
      <c r="FR58" s="4"/>
      <c r="FS58" s="10">
        <v>20090</v>
      </c>
      <c r="FT58" s="4"/>
      <c r="FU58" s="4"/>
      <c r="FV58" s="4"/>
      <c r="FW58" s="4"/>
      <c r="FX58" s="4"/>
      <c r="FY58" s="4"/>
      <c r="FZ58" s="10">
        <v>12788</v>
      </c>
      <c r="GA58" s="10">
        <v>18866</v>
      </c>
      <c r="GB58" s="10">
        <v>6993</v>
      </c>
      <c r="GC58" s="10"/>
      <c r="GD58" s="4"/>
      <c r="GE58" s="4"/>
      <c r="GF58" s="4">
        <v>17311</v>
      </c>
      <c r="GG58" s="4"/>
      <c r="GH58" s="4"/>
      <c r="GI58" s="4"/>
      <c r="GJ58" s="4">
        <v>18421</v>
      </c>
      <c r="GK58" s="4"/>
      <c r="GL58" s="4"/>
      <c r="GM58" s="4">
        <v>18823</v>
      </c>
      <c r="GN58" s="10"/>
      <c r="GO58" s="10">
        <v>19995</v>
      </c>
      <c r="GP58" s="4"/>
      <c r="GQ58" s="10"/>
      <c r="GR58" s="4">
        <v>11187</v>
      </c>
      <c r="GS58" s="10">
        <v>12669</v>
      </c>
      <c r="GT58" s="4">
        <v>21709</v>
      </c>
      <c r="GU58" s="10"/>
      <c r="GV58" s="4"/>
      <c r="GW58" s="10">
        <v>17221</v>
      </c>
      <c r="GX58" s="10">
        <v>17602</v>
      </c>
      <c r="GY58" s="10"/>
      <c r="GZ58" s="10"/>
      <c r="HA58" s="18"/>
      <c r="HB58" s="4"/>
      <c r="HC58" s="77">
        <f t="shared" si="22"/>
        <v>-0.12447094925165736</v>
      </c>
      <c r="HD58" s="8">
        <f t="shared" si="29"/>
        <v>302434</v>
      </c>
      <c r="HE58" s="2"/>
      <c r="HF58" s="3" t="s">
        <v>346</v>
      </c>
      <c r="HG58" s="4">
        <f>12576+132</f>
        <v>12708</v>
      </c>
      <c r="HH58" s="4"/>
      <c r="HI58" s="4"/>
      <c r="HJ58" s="4"/>
      <c r="HK58" s="4"/>
      <c r="HL58" s="4"/>
      <c r="HM58" s="4"/>
      <c r="HN58" s="4"/>
      <c r="HO58" s="4"/>
      <c r="HP58" s="4">
        <v>17732</v>
      </c>
      <c r="HQ58" s="4"/>
      <c r="HR58" s="4"/>
      <c r="HS58" s="4"/>
      <c r="HT58" s="10">
        <v>17318</v>
      </c>
      <c r="HU58" s="10"/>
      <c r="HV58" s="4"/>
      <c r="HW58" s="4"/>
      <c r="HX58" s="4"/>
      <c r="HY58" s="4"/>
      <c r="HZ58" s="4"/>
      <c r="IA58" s="4"/>
      <c r="IB58" s="4"/>
      <c r="IC58" s="4">
        <v>18561</v>
      </c>
      <c r="ID58" s="10"/>
      <c r="IE58" s="4"/>
      <c r="IF58" s="10">
        <v>19052</v>
      </c>
      <c r="IG58" s="4"/>
      <c r="IH58" s="4">
        <v>9624</v>
      </c>
      <c r="II58" s="4"/>
      <c r="IJ58" s="4"/>
      <c r="IK58" s="4"/>
      <c r="IL58" s="4"/>
      <c r="IM58" s="4"/>
      <c r="IN58" s="4"/>
      <c r="IO58" s="4"/>
      <c r="IP58" s="4"/>
      <c r="IQ58" s="4"/>
      <c r="IR58" s="4">
        <v>18145</v>
      </c>
      <c r="IS58" s="4">
        <v>18198</v>
      </c>
      <c r="IT58" s="10">
        <v>22208</v>
      </c>
      <c r="IU58" s="4"/>
      <c r="IV58" s="4"/>
      <c r="IW58" s="4"/>
      <c r="IX58" s="10">
        <v>23222</v>
      </c>
      <c r="IY58" s="4"/>
      <c r="IZ58" s="4"/>
      <c r="JA58" s="4"/>
      <c r="JB58" s="4"/>
      <c r="JC58" s="4"/>
      <c r="JD58" s="4"/>
      <c r="JE58" s="4"/>
      <c r="JF58" s="10">
        <v>18937</v>
      </c>
      <c r="JG58" s="10"/>
      <c r="JH58" s="10"/>
      <c r="JI58" s="4"/>
      <c r="JJ58" s="4"/>
      <c r="JK58" s="4"/>
      <c r="JL58" s="4">
        <v>19140</v>
      </c>
      <c r="JM58" s="4"/>
      <c r="JN58" s="10"/>
      <c r="JO58" s="10"/>
      <c r="JP58" s="4"/>
      <c r="JQ58" s="4"/>
      <c r="JR58" s="4"/>
      <c r="JS58" s="4"/>
      <c r="JT58" s="4"/>
      <c r="JU58" s="10">
        <v>10159</v>
      </c>
      <c r="JV58" s="4"/>
      <c r="JW58" s="4"/>
      <c r="JX58" s="4"/>
      <c r="JY58" s="4"/>
      <c r="JZ58" s="4"/>
      <c r="KA58" s="4">
        <v>12771</v>
      </c>
      <c r="KB58" s="4"/>
      <c r="KC58" s="4"/>
      <c r="KD58" s="10">
        <v>14473</v>
      </c>
      <c r="KE58" s="10">
        <v>19544</v>
      </c>
      <c r="KF58" s="10"/>
      <c r="KG58" s="4"/>
      <c r="KH58" s="10"/>
      <c r="KI58" s="10"/>
      <c r="KJ58" s="10">
        <v>17201</v>
      </c>
      <c r="KK58" s="10">
        <v>13250</v>
      </c>
      <c r="KL58" s="4">
        <v>17466</v>
      </c>
      <c r="KM58" s="10"/>
      <c r="KN58" s="4"/>
      <c r="KO58" s="4"/>
      <c r="KP58" s="4">
        <v>22575</v>
      </c>
      <c r="KQ58" s="4"/>
      <c r="KR58" s="10"/>
      <c r="KS58" s="4">
        <v>19943</v>
      </c>
      <c r="KT58" s="4"/>
      <c r="KU58" s="4"/>
      <c r="KV58" s="4"/>
      <c r="KW58" s="4"/>
      <c r="KX58" s="18"/>
      <c r="KY58" s="4"/>
      <c r="KZ58" s="77">
        <f t="shared" si="23"/>
        <v>-7.5102134613420482E-2</v>
      </c>
      <c r="LA58" s="8">
        <f t="shared" si="30"/>
        <v>362227</v>
      </c>
      <c r="LB58" s="2"/>
      <c r="LC58" s="43"/>
      <c r="MO58" s="172"/>
      <c r="NO58" s="77"/>
      <c r="NP58" s="63"/>
      <c r="NQ58"/>
      <c r="NR58" s="77" t="e">
        <f t="shared" si="24"/>
        <v>#DIV/0!</v>
      </c>
      <c r="NS58" s="8">
        <f t="shared" si="42"/>
        <v>0</v>
      </c>
      <c r="NT58" s="2"/>
      <c r="NU58" s="7" t="s">
        <v>347</v>
      </c>
      <c r="NV58" s="4">
        <v>7087</v>
      </c>
      <c r="NW58" s="4">
        <v>26787</v>
      </c>
      <c r="NX58" s="4"/>
      <c r="NY58" s="4"/>
      <c r="NZ58" s="4"/>
      <c r="OA58" s="4"/>
      <c r="OB58" s="4"/>
      <c r="OC58" s="4"/>
      <c r="OD58" s="4"/>
      <c r="OE58" s="77">
        <f t="shared" si="25"/>
        <v>0.22972482393087926</v>
      </c>
      <c r="OF58" s="8">
        <f t="shared" si="43"/>
        <v>33874</v>
      </c>
      <c r="OG58" s="2"/>
      <c r="OH58" s="33" t="s">
        <v>348</v>
      </c>
      <c r="OI58" s="1">
        <v>801</v>
      </c>
      <c r="OJ58" s="40">
        <v>2663</v>
      </c>
      <c r="OK58" s="40">
        <v>7603</v>
      </c>
      <c r="OL58" s="40">
        <v>13268</v>
      </c>
      <c r="OM58" s="40">
        <v>8275</v>
      </c>
      <c r="ON58" s="40">
        <v>2470</v>
      </c>
      <c r="OO58" s="40"/>
      <c r="OQ58" s="40"/>
      <c r="OR58" s="77" t="e">
        <f t="shared" ref="OR58:OR81" si="48">IF($A58="","",(OS58-OS57)/OS57)</f>
        <v>#DIV/0!</v>
      </c>
      <c r="OS58" s="8">
        <f t="shared" ref="OS58:OS89" si="49">IF(A58="","",SUM(OI58:OQ58))</f>
        <v>35080</v>
      </c>
      <c r="OT58" s="37"/>
      <c r="OU58" s="126">
        <f t="shared" ref="OU58:OU76" si="50">IF(A58="","",AB58+CZ58+OF58+OS58)</f>
        <v>818176</v>
      </c>
      <c r="OV58" s="71">
        <f t="shared" si="44"/>
        <v>3.6186539311527439E-2</v>
      </c>
      <c r="OW58" s="139">
        <f>IF(A58="","",SUM(Z$17:Z58))</f>
        <v>20000</v>
      </c>
      <c r="OX58" s="139">
        <f t="shared" si="32"/>
        <v>803096</v>
      </c>
      <c r="OY58" s="132">
        <f t="shared" si="33"/>
        <v>0.12543214651571141</v>
      </c>
      <c r="OZ58" s="140">
        <f t="shared" si="34"/>
        <v>664661</v>
      </c>
      <c r="PA58" s="84">
        <f t="shared" si="47"/>
        <v>-9.8238973231850435E-2</v>
      </c>
      <c r="PB58" s="130">
        <f>IF(A58="","",SUM(HB$17:HB58)+SUM(KY$17:KY58))</f>
        <v>111021.26999999999</v>
      </c>
      <c r="PC58" s="131">
        <f t="shared" si="35"/>
        <v>775682.27</v>
      </c>
      <c r="PD58" s="132">
        <f t="shared" si="36"/>
        <v>0.17434914257078885</v>
      </c>
      <c r="PE58" s="133"/>
      <c r="PF58" s="134"/>
      <c r="PG58" s="133"/>
      <c r="PH58" s="134"/>
      <c r="PI58" s="135">
        <f t="shared" si="37"/>
        <v>1482837</v>
      </c>
      <c r="PJ58" s="136">
        <f t="shared" si="10"/>
        <v>-2.8713418001104361E-2</v>
      </c>
      <c r="PK58" s="123"/>
      <c r="PL58" s="137">
        <f t="shared" si="38"/>
        <v>131021.26999999999</v>
      </c>
      <c r="PM58" s="9">
        <f t="shared" si="39"/>
        <v>1578778.27</v>
      </c>
      <c r="PN58" s="138">
        <f t="shared" si="40"/>
        <v>0.14894605963132501</v>
      </c>
      <c r="PO58" s="86">
        <f>IF(PI58="","",MAX(PI$15:PI58))</f>
        <v>1539876</v>
      </c>
      <c r="PP58" s="113">
        <f>IF(PI58="","",(PI58-PO58)/PI58)</f>
        <v>-3.8466129453203553E-2</v>
      </c>
      <c r="PQ58" s="41"/>
      <c r="PR58" s="302"/>
    </row>
    <row r="59" spans="1:434" s="1" customFormat="1" ht="15" customHeight="1" x14ac:dyDescent="0.45">
      <c r="A59" s="18"/>
      <c r="B59" s="3"/>
      <c r="C59" s="4"/>
      <c r="D59" s="10"/>
      <c r="E59" s="10"/>
      <c r="F59" s="10"/>
      <c r="G59" s="4"/>
      <c r="H59" s="4"/>
      <c r="I59" s="4"/>
      <c r="J59" s="4"/>
      <c r="K59" s="4"/>
      <c r="L59" s="4"/>
      <c r="M59" s="4"/>
      <c r="N59" s="4"/>
      <c r="O59" s="10"/>
      <c r="P59" s="4"/>
      <c r="Q59" s="4"/>
      <c r="R59" s="4"/>
      <c r="S59" s="4"/>
      <c r="T59" s="4"/>
      <c r="U59" s="10"/>
      <c r="V59" s="10"/>
      <c r="W59" s="10"/>
      <c r="X59" s="4"/>
      <c r="Y59" s="18" t="str">
        <f t="shared" si="45"/>
        <v/>
      </c>
      <c r="Z59" s="4"/>
      <c r="AA59" s="77" t="str">
        <f t="shared" si="21"/>
        <v/>
      </c>
      <c r="AB59" s="8" t="str">
        <f t="shared" si="27"/>
        <v/>
      </c>
      <c r="AC59" s="2"/>
      <c r="AD59" s="3"/>
      <c r="AE59" s="4"/>
      <c r="AF59" s="4"/>
      <c r="AG59" s="4"/>
      <c r="AH59" s="4"/>
      <c r="AJ59" s="4"/>
      <c r="AK59" s="4"/>
      <c r="AL59" s="4"/>
      <c r="AM59" s="4"/>
      <c r="AO59" s="4"/>
      <c r="AP59" s="10"/>
      <c r="AQ59" s="4"/>
      <c r="AR59" s="4"/>
      <c r="AS59" s="4"/>
      <c r="AT59" s="4"/>
      <c r="AU59" s="4"/>
      <c r="AW59" s="4"/>
      <c r="AX59" s="4"/>
      <c r="AY59" s="4"/>
      <c r="AZ59" s="4"/>
      <c r="BA59" s="4"/>
      <c r="BB59" s="4"/>
      <c r="BC59" s="4"/>
      <c r="BD59" s="4"/>
      <c r="BE59" s="4"/>
      <c r="BF59" s="4"/>
      <c r="BH59" s="4"/>
      <c r="BI59" s="4"/>
      <c r="BJ59" s="4"/>
      <c r="BK59" s="4"/>
      <c r="BL59" s="4"/>
      <c r="BM59" s="4"/>
      <c r="BN59" s="4"/>
      <c r="BO59" s="4"/>
      <c r="BP59" s="4"/>
      <c r="BQ59" s="4"/>
      <c r="BS59" s="10"/>
      <c r="BT59" s="4"/>
      <c r="BU59" s="4"/>
      <c r="BV59" s="4"/>
      <c r="BW59" s="4"/>
      <c r="CA59" s="4"/>
      <c r="CB59" s="4"/>
      <c r="CC59" s="4"/>
      <c r="CD59" s="4"/>
      <c r="CE59" s="4"/>
      <c r="CF59" s="4"/>
      <c r="CG59" s="4"/>
      <c r="CH59" s="4"/>
      <c r="CI59" s="4"/>
      <c r="CJ59" s="10"/>
      <c r="CK59" s="4"/>
      <c r="CL59" s="10"/>
      <c r="CN59" s="4"/>
      <c r="CO59" s="10"/>
      <c r="CP59" s="4"/>
      <c r="CQ59" s="4"/>
      <c r="CR59" s="10"/>
      <c r="CS59" s="4"/>
      <c r="CT59" s="4"/>
      <c r="CU59" s="4"/>
      <c r="CV59" s="4"/>
      <c r="CW59" s="4"/>
      <c r="CX59" s="4"/>
      <c r="CY59" s="77" t="str">
        <f t="shared" si="46"/>
        <v/>
      </c>
      <c r="CZ59" s="8" t="str">
        <f t="shared" si="28"/>
        <v/>
      </c>
      <c r="DA59" s="2"/>
      <c r="DH59" s="4"/>
      <c r="DJ59" s="4"/>
      <c r="DX59" s="2"/>
      <c r="DY59" s="32"/>
      <c r="DZ59" s="4"/>
      <c r="EA59" s="32"/>
      <c r="EB59" s="32"/>
      <c r="EC59" s="32"/>
      <c r="ED59" s="32"/>
      <c r="EE59" s="4"/>
      <c r="EF59" s="4"/>
      <c r="EG59" s="32"/>
      <c r="EH59" s="32"/>
      <c r="EI59" s="32"/>
      <c r="EJ59" s="32"/>
      <c r="EK59" s="5"/>
      <c r="EO59" s="2"/>
      <c r="EQ59" s="468" t="s">
        <v>1</v>
      </c>
      <c r="ER59"/>
      <c r="ES59" s="6" t="s">
        <v>349</v>
      </c>
      <c r="ET59" s="10"/>
      <c r="EU59" s="10"/>
      <c r="EV59" s="10"/>
      <c r="EW59" s="10"/>
      <c r="EX59" s="4"/>
      <c r="EY59" s="4"/>
      <c r="EZ59" s="4"/>
      <c r="FA59" s="4"/>
      <c r="FB59" s="4"/>
      <c r="FC59" s="4"/>
      <c r="FD59" s="4"/>
      <c r="FE59" s="4"/>
      <c r="FF59" s="4"/>
      <c r="FG59" s="4"/>
      <c r="FH59" s="10"/>
      <c r="FI59" s="10"/>
      <c r="FJ59" s="10"/>
      <c r="FK59" s="10"/>
      <c r="FL59" s="10"/>
      <c r="FM59" s="10"/>
      <c r="FN59" s="4"/>
      <c r="FO59" s="4"/>
      <c r="FP59" s="10"/>
      <c r="FQ59" s="4"/>
      <c r="FR59" s="4"/>
      <c r="FS59" s="10"/>
      <c r="FT59" s="4"/>
      <c r="FU59" s="4"/>
      <c r="FV59" s="4"/>
      <c r="FW59" s="4"/>
      <c r="FX59" s="4"/>
      <c r="FY59" s="4"/>
      <c r="FZ59" s="10"/>
      <c r="GA59" s="10"/>
      <c r="GB59" s="10"/>
      <c r="GC59" s="10"/>
      <c r="GD59" s="4"/>
      <c r="GE59" s="4"/>
      <c r="GF59" s="4"/>
      <c r="GG59" s="4"/>
      <c r="GH59" s="4"/>
      <c r="GI59" s="4"/>
      <c r="GJ59" s="4"/>
      <c r="GK59" s="4"/>
      <c r="GL59" s="4"/>
      <c r="GM59" s="4"/>
      <c r="GN59" s="10"/>
      <c r="GO59" s="10"/>
      <c r="GP59" s="4"/>
      <c r="GQ59" s="10"/>
      <c r="GR59" s="4"/>
      <c r="GS59" s="10"/>
      <c r="GT59" s="4"/>
      <c r="GU59" s="10"/>
      <c r="GV59" s="4"/>
      <c r="GW59" s="10"/>
      <c r="GX59" s="10"/>
      <c r="GY59" s="10"/>
      <c r="GZ59" s="10"/>
      <c r="HA59" s="18"/>
      <c r="HB59" s="4"/>
      <c r="HC59" s="77" t="str">
        <f t="shared" si="22"/>
        <v/>
      </c>
      <c r="HD59" s="8" t="str">
        <f t="shared" si="29"/>
        <v/>
      </c>
      <c r="HE59" s="2"/>
      <c r="HF59" s="3"/>
      <c r="HG59" s="4"/>
      <c r="HH59" s="4"/>
      <c r="HI59" s="4"/>
      <c r="HJ59" s="4"/>
      <c r="HK59" s="4"/>
      <c r="HL59" s="4"/>
      <c r="HM59" s="4"/>
      <c r="HN59" s="4"/>
      <c r="HO59" s="4"/>
      <c r="HP59" s="4"/>
      <c r="HQ59" s="4"/>
      <c r="HR59" s="4"/>
      <c r="HS59" s="4"/>
      <c r="HT59" s="10"/>
      <c r="HU59" s="10"/>
      <c r="HV59" s="4"/>
      <c r="HW59" s="4"/>
      <c r="HX59" s="4"/>
      <c r="HY59" s="4"/>
      <c r="HZ59" s="4"/>
      <c r="IA59" s="4"/>
      <c r="IB59" s="4"/>
      <c r="IC59" s="4"/>
      <c r="ID59" s="10"/>
      <c r="IE59" s="4"/>
      <c r="IF59" s="10"/>
      <c r="IG59" s="4"/>
      <c r="IH59" s="4"/>
      <c r="II59" s="4"/>
      <c r="IJ59" s="4"/>
      <c r="IK59" s="4"/>
      <c r="IL59" s="4"/>
      <c r="IM59" s="4"/>
      <c r="IN59" s="4"/>
      <c r="IO59" s="4"/>
      <c r="IP59" s="4"/>
      <c r="IQ59" s="4"/>
      <c r="IR59" s="4"/>
      <c r="IS59" s="4"/>
      <c r="IT59" s="10"/>
      <c r="IU59" s="4"/>
      <c r="IV59" s="4"/>
      <c r="IW59" s="4"/>
      <c r="IX59" s="10"/>
      <c r="IY59" s="4"/>
      <c r="IZ59" s="4"/>
      <c r="JA59" s="4"/>
      <c r="JB59" s="4"/>
      <c r="JC59" s="4"/>
      <c r="JD59" s="4"/>
      <c r="JE59" s="4"/>
      <c r="JF59" s="10"/>
      <c r="JG59" s="10"/>
      <c r="JH59" s="10"/>
      <c r="JI59" s="4"/>
      <c r="JJ59" s="4"/>
      <c r="JK59" s="4"/>
      <c r="JL59" s="4"/>
      <c r="JM59" s="4"/>
      <c r="JN59" s="10"/>
      <c r="JO59" s="10"/>
      <c r="JP59" s="4"/>
      <c r="JQ59" s="4"/>
      <c r="JR59" s="4"/>
      <c r="JS59" s="4"/>
      <c r="JT59" s="4"/>
      <c r="JU59" s="10"/>
      <c r="JV59" s="4"/>
      <c r="JW59" s="4"/>
      <c r="JX59" s="4"/>
      <c r="JY59" s="4"/>
      <c r="JZ59" s="4"/>
      <c r="KA59" s="4"/>
      <c r="KB59" s="4"/>
      <c r="KC59" s="4"/>
      <c r="KD59" s="10"/>
      <c r="KE59" s="10"/>
      <c r="KF59" s="10"/>
      <c r="KG59" s="4"/>
      <c r="KH59" s="10"/>
      <c r="KI59" s="10"/>
      <c r="KJ59" s="10"/>
      <c r="KK59" s="10"/>
      <c r="KL59" s="4"/>
      <c r="KM59" s="10"/>
      <c r="KN59" s="4"/>
      <c r="KO59" s="4"/>
      <c r="KP59" s="4"/>
      <c r="KQ59" s="4"/>
      <c r="KR59" s="10"/>
      <c r="KS59" s="4"/>
      <c r="KT59" s="4"/>
      <c r="KU59" s="4"/>
      <c r="KV59" s="4"/>
      <c r="KW59" s="4"/>
      <c r="KX59" s="18"/>
      <c r="KY59" s="4"/>
      <c r="KZ59" s="77" t="str">
        <f t="shared" si="23"/>
        <v/>
      </c>
      <c r="LA59" s="8" t="str">
        <f t="shared" si="30"/>
        <v/>
      </c>
      <c r="LB59" s="2"/>
      <c r="LC59" s="43"/>
      <c r="MO59" s="172"/>
      <c r="NO59" s="77"/>
      <c r="NP59" s="63"/>
      <c r="NQ59"/>
      <c r="NR59" s="77" t="str">
        <f t="shared" si="24"/>
        <v/>
      </c>
      <c r="NS59" s="8" t="str">
        <f t="shared" si="42"/>
        <v/>
      </c>
      <c r="NT59" s="2"/>
      <c r="NU59" s="7"/>
      <c r="NV59" s="4"/>
      <c r="NW59" s="4"/>
      <c r="NX59" s="4"/>
      <c r="NY59" s="4"/>
      <c r="NZ59" s="4"/>
      <c r="OA59" s="4"/>
      <c r="OB59" s="4"/>
      <c r="OC59" s="4"/>
      <c r="OD59" s="4"/>
      <c r="OE59" s="77" t="str">
        <f t="shared" si="25"/>
        <v/>
      </c>
      <c r="OF59" s="8" t="str">
        <f t="shared" si="43"/>
        <v/>
      </c>
      <c r="OG59" s="2"/>
      <c r="OJ59" s="40"/>
      <c r="OK59" s="40"/>
      <c r="OL59" s="40"/>
      <c r="OM59" s="40"/>
      <c r="ON59" s="40"/>
      <c r="OO59" s="40"/>
      <c r="OQ59" s="40"/>
      <c r="OR59" s="77" t="str">
        <f t="shared" si="48"/>
        <v/>
      </c>
      <c r="OS59" s="8" t="str">
        <f t="shared" si="49"/>
        <v/>
      </c>
      <c r="OT59" s="37"/>
      <c r="OU59" s="126" t="str">
        <f t="shared" si="50"/>
        <v/>
      </c>
      <c r="OV59" s="71" t="str">
        <f t="shared" si="44"/>
        <v/>
      </c>
      <c r="OW59" s="139" t="str">
        <f>IF(A59="","",SUM(Z$17:Z59))</f>
        <v/>
      </c>
      <c r="OX59" s="139" t="str">
        <f t="shared" si="32"/>
        <v/>
      </c>
      <c r="OY59" s="132" t="str">
        <f t="shared" si="33"/>
        <v/>
      </c>
      <c r="OZ59" s="140" t="str">
        <f t="shared" si="34"/>
        <v/>
      </c>
      <c r="PA59" s="84" t="str">
        <f t="shared" si="47"/>
        <v/>
      </c>
      <c r="PB59" s="130" t="str">
        <f>IF(A59="","",SUM(HB$17:HB59)+SUM(KY$17:KY59))</f>
        <v/>
      </c>
      <c r="PC59" s="131" t="str">
        <f t="shared" si="35"/>
        <v/>
      </c>
      <c r="PD59" s="132" t="str">
        <f t="shared" si="36"/>
        <v/>
      </c>
      <c r="PE59" s="133"/>
      <c r="PF59" s="134"/>
      <c r="PG59" s="133"/>
      <c r="PH59" s="134"/>
      <c r="PI59" s="135" t="str">
        <f t="shared" si="37"/>
        <v/>
      </c>
      <c r="PJ59" s="136" t="str">
        <f t="shared" si="10"/>
        <v/>
      </c>
      <c r="PK59" s="123"/>
      <c r="PL59" s="137" t="str">
        <f t="shared" si="38"/>
        <v/>
      </c>
      <c r="PM59" s="9" t="str">
        <f t="shared" si="39"/>
        <v/>
      </c>
      <c r="PN59" s="138" t="str">
        <f t="shared" si="40"/>
        <v/>
      </c>
      <c r="PO59" s="86" t="str">
        <f>IF(PI59="","",MAX(PI$15:PI59))</f>
        <v/>
      </c>
      <c r="PP59" s="113" t="str">
        <f t="shared" si="11"/>
        <v/>
      </c>
      <c r="PQ59" s="41"/>
      <c r="PR59" s="302"/>
    </row>
    <row r="60" spans="1:434" s="1" customFormat="1" ht="15" customHeight="1" x14ac:dyDescent="0.45">
      <c r="A60" s="18">
        <v>43903</v>
      </c>
      <c r="B60" s="1" t="s">
        <v>306</v>
      </c>
      <c r="C60" s="4">
        <v>2534</v>
      </c>
      <c r="D60" s="10"/>
      <c r="E60" s="10"/>
      <c r="F60" s="10"/>
      <c r="G60" s="4">
        <v>46094</v>
      </c>
      <c r="H60" s="4"/>
      <c r="I60" s="4"/>
      <c r="J60" s="4"/>
      <c r="K60" s="4"/>
      <c r="L60" s="4"/>
      <c r="M60" s="4"/>
      <c r="N60" s="4"/>
      <c r="O60" s="10"/>
      <c r="P60" s="4"/>
      <c r="Q60" s="4"/>
      <c r="R60" s="4"/>
      <c r="S60" s="4"/>
      <c r="T60" s="4"/>
      <c r="U60" s="10"/>
      <c r="V60" s="10"/>
      <c r="W60" s="10"/>
      <c r="X60" s="4"/>
      <c r="Y60" s="18" t="str">
        <f t="shared" si="45"/>
        <v/>
      </c>
      <c r="Z60" s="4"/>
      <c r="AA60" s="77" t="e">
        <f t="shared" si="21"/>
        <v>#VALUE!</v>
      </c>
      <c r="AB60" s="8">
        <f t="shared" si="27"/>
        <v>48628</v>
      </c>
      <c r="AC60" s="2"/>
      <c r="AD60" s="3" t="s">
        <v>350</v>
      </c>
      <c r="AE60" s="4">
        <v>1986</v>
      </c>
      <c r="AF60" s="4">
        <v>375837</v>
      </c>
      <c r="AG60" s="4"/>
      <c r="AH60" s="4"/>
      <c r="AJ60" s="4"/>
      <c r="AK60" s="4"/>
      <c r="AL60" s="4"/>
      <c r="AM60" s="4"/>
      <c r="AO60" s="4"/>
      <c r="AP60" s="10"/>
      <c r="AQ60" s="4"/>
      <c r="AR60" s="4"/>
      <c r="AS60" s="4"/>
      <c r="AT60" s="4"/>
      <c r="AU60" s="4">
        <v>67869</v>
      </c>
      <c r="AW60" s="4"/>
      <c r="AX60" s="4">
        <v>11156</v>
      </c>
      <c r="AY60" s="4"/>
      <c r="AZ60" s="4">
        <v>12901</v>
      </c>
      <c r="BA60" s="4"/>
      <c r="BB60" s="4"/>
      <c r="BC60" s="4"/>
      <c r="BD60" s="4"/>
      <c r="BE60" s="4"/>
      <c r="BF60" s="4"/>
      <c r="BH60" s="4"/>
      <c r="BI60" s="4"/>
      <c r="BJ60" s="4"/>
      <c r="BK60" s="4"/>
      <c r="BL60" s="4"/>
      <c r="BM60" s="4"/>
      <c r="BN60" s="4"/>
      <c r="BO60" s="4"/>
      <c r="BP60" s="4"/>
      <c r="BQ60" s="4"/>
      <c r="BS60" s="10"/>
      <c r="BT60" s="4"/>
      <c r="BU60" s="4"/>
      <c r="BV60" s="4"/>
      <c r="BW60" s="4"/>
      <c r="CA60" s="4">
        <v>97744</v>
      </c>
      <c r="CB60" s="4"/>
      <c r="CC60" s="4">
        <v>18646</v>
      </c>
      <c r="CD60" s="4"/>
      <c r="CE60" s="4"/>
      <c r="CF60" s="4"/>
      <c r="CG60" s="4"/>
      <c r="CH60" s="4"/>
      <c r="CI60" s="4"/>
      <c r="CJ60" s="10"/>
      <c r="CK60" s="4"/>
      <c r="CL60" s="10"/>
      <c r="CN60" s="4"/>
      <c r="CO60" s="10"/>
      <c r="CP60" s="4"/>
      <c r="CQ60" s="4"/>
      <c r="CR60" s="10"/>
      <c r="CS60" s="4"/>
      <c r="CT60" s="4"/>
      <c r="CU60" s="4"/>
      <c r="CV60" s="4"/>
      <c r="CW60" s="4"/>
      <c r="CX60" s="4"/>
      <c r="CY60" s="77" t="e">
        <f t="shared" si="46"/>
        <v>#VALUE!</v>
      </c>
      <c r="CZ60" s="8">
        <f t="shared" si="28"/>
        <v>586139</v>
      </c>
      <c r="DA60" s="2"/>
      <c r="DH60" s="4"/>
      <c r="DJ60" s="4"/>
      <c r="DX60" s="2"/>
      <c r="DY60" s="32"/>
      <c r="DZ60" s="4">
        <v>7087</v>
      </c>
      <c r="EA60" s="32"/>
      <c r="EB60" s="32"/>
      <c r="EC60" s="32"/>
      <c r="ED60" s="32"/>
      <c r="EE60" s="4"/>
      <c r="EF60" s="4"/>
      <c r="EG60" s="32"/>
      <c r="EH60" s="32"/>
      <c r="EI60" s="32"/>
      <c r="EJ60" s="32"/>
      <c r="EK60" s="5"/>
      <c r="EO60" s="2"/>
      <c r="EQ60" s="468" t="s">
        <v>1</v>
      </c>
      <c r="ER60"/>
      <c r="ES60" s="6" t="s">
        <v>351</v>
      </c>
      <c r="ET60" s="10"/>
      <c r="EU60" s="10"/>
      <c r="EV60" s="10"/>
      <c r="EW60" s="10"/>
      <c r="EX60" s="4">
        <v>256310</v>
      </c>
      <c r="EY60" s="4"/>
      <c r="EZ60" s="4"/>
      <c r="FA60" s="4"/>
      <c r="FB60" s="4"/>
      <c r="FC60" s="4"/>
      <c r="FD60" s="4"/>
      <c r="FE60" s="4"/>
      <c r="FF60" s="4"/>
      <c r="FG60" s="4"/>
      <c r="FH60" s="10"/>
      <c r="FI60" s="10"/>
      <c r="FJ60" s="10"/>
      <c r="FK60" s="10"/>
      <c r="FL60" s="10"/>
      <c r="FM60" s="10"/>
      <c r="FN60" s="4"/>
      <c r="FO60" s="4"/>
      <c r="FP60" s="10"/>
      <c r="FQ60" s="4"/>
      <c r="FR60" s="4"/>
      <c r="FS60" s="10"/>
      <c r="FT60" s="4"/>
      <c r="FU60" s="4"/>
      <c r="FV60" s="4"/>
      <c r="FW60" s="4"/>
      <c r="FX60" s="4"/>
      <c r="FY60" s="4"/>
      <c r="FZ60" s="10"/>
      <c r="GA60" s="10"/>
      <c r="GB60" s="10"/>
      <c r="GC60" s="10"/>
      <c r="GD60" s="4"/>
      <c r="GE60" s="4"/>
      <c r="GF60" s="4"/>
      <c r="GG60" s="4"/>
      <c r="GH60" s="4"/>
      <c r="GI60" s="4"/>
      <c r="GJ60" s="4"/>
      <c r="GK60" s="4"/>
      <c r="GL60" s="4"/>
      <c r="GM60" s="4"/>
      <c r="GN60" s="10"/>
      <c r="GO60" s="10"/>
      <c r="GP60" s="4"/>
      <c r="GQ60" s="10"/>
      <c r="GR60" s="4"/>
      <c r="GS60" s="10"/>
      <c r="GT60" s="4"/>
      <c r="GU60" s="10"/>
      <c r="GV60" s="4"/>
      <c r="GW60" s="10"/>
      <c r="GX60" s="10"/>
      <c r="GY60" s="10"/>
      <c r="GZ60" s="10"/>
      <c r="HA60" s="18"/>
      <c r="HB60" s="4"/>
      <c r="HC60" s="77" t="e">
        <f t="shared" si="22"/>
        <v>#VALUE!</v>
      </c>
      <c r="HD60" s="8">
        <f t="shared" si="29"/>
        <v>256310</v>
      </c>
      <c r="HE60" s="2"/>
      <c r="HF60" s="6" t="s">
        <v>351</v>
      </c>
      <c r="HG60" s="4">
        <v>306653</v>
      </c>
      <c r="HH60" s="4"/>
      <c r="HI60" s="4"/>
      <c r="HJ60" s="4"/>
      <c r="HK60" s="4"/>
      <c r="HL60" s="4"/>
      <c r="HM60" s="4"/>
      <c r="HN60" s="4"/>
      <c r="HO60" s="4"/>
      <c r="HP60" s="4"/>
      <c r="HQ60" s="4"/>
      <c r="HR60" s="4"/>
      <c r="HS60" s="4"/>
      <c r="HT60" s="10"/>
      <c r="HU60" s="10"/>
      <c r="HV60" s="4"/>
      <c r="HW60" s="4"/>
      <c r="HX60" s="4"/>
      <c r="HY60" s="4"/>
      <c r="HZ60" s="4"/>
      <c r="IA60" s="4"/>
      <c r="IB60" s="4"/>
      <c r="IC60" s="4"/>
      <c r="ID60" s="10"/>
      <c r="IE60" s="4"/>
      <c r="IF60" s="10"/>
      <c r="IG60" s="4"/>
      <c r="IH60" s="4"/>
      <c r="II60" s="4"/>
      <c r="IJ60" s="4"/>
      <c r="IK60" s="4"/>
      <c r="IL60" s="4"/>
      <c r="IM60" s="4"/>
      <c r="IN60" s="4"/>
      <c r="IO60" s="4"/>
      <c r="IP60" s="4"/>
      <c r="IQ60" s="4"/>
      <c r="IR60" s="4"/>
      <c r="IS60" s="4"/>
      <c r="IT60" s="10"/>
      <c r="IU60" s="4"/>
      <c r="IV60" s="4"/>
      <c r="IW60" s="4"/>
      <c r="IX60" s="10"/>
      <c r="IY60" s="4"/>
      <c r="IZ60" s="4"/>
      <c r="JA60" s="4"/>
      <c r="JB60" s="4"/>
      <c r="JC60" s="4"/>
      <c r="JD60" s="4"/>
      <c r="JE60" s="4"/>
      <c r="JF60" s="10"/>
      <c r="JG60" s="10"/>
      <c r="JH60" s="10"/>
      <c r="JI60" s="4"/>
      <c r="JJ60" s="4"/>
      <c r="JK60" s="4"/>
      <c r="JL60" s="4"/>
      <c r="JM60" s="4"/>
      <c r="JN60" s="10"/>
      <c r="JO60" s="10"/>
      <c r="JP60" s="4"/>
      <c r="JQ60" s="4"/>
      <c r="JR60" s="4"/>
      <c r="JS60" s="4"/>
      <c r="JT60" s="4"/>
      <c r="JU60" s="10"/>
      <c r="JV60" s="4"/>
      <c r="JW60" s="4"/>
      <c r="JX60" s="4"/>
      <c r="JY60" s="4"/>
      <c r="JZ60" s="4"/>
      <c r="KA60" s="4"/>
      <c r="KB60" s="4"/>
      <c r="KC60" s="4"/>
      <c r="KD60" s="10"/>
      <c r="KE60" s="10"/>
      <c r="KF60" s="10"/>
      <c r="KG60" s="4"/>
      <c r="KH60" s="10"/>
      <c r="KI60" s="10"/>
      <c r="KJ60" s="10"/>
      <c r="KK60" s="10"/>
      <c r="KL60" s="4"/>
      <c r="KM60" s="10"/>
      <c r="KN60" s="4"/>
      <c r="KO60" s="4"/>
      <c r="KP60" s="4"/>
      <c r="KQ60" s="4"/>
      <c r="KR60" s="10"/>
      <c r="KS60" s="4"/>
      <c r="KT60" s="4"/>
      <c r="KU60" s="4"/>
      <c r="KV60" s="4"/>
      <c r="KW60" s="4"/>
      <c r="KX60" s="18"/>
      <c r="KY60" s="4"/>
      <c r="KZ60" s="77" t="e">
        <f t="shared" si="23"/>
        <v>#VALUE!</v>
      </c>
      <c r="LA60" s="8">
        <f t="shared" si="30"/>
        <v>306653</v>
      </c>
      <c r="LB60" s="2"/>
      <c r="LC60" s="43"/>
      <c r="MO60" s="172"/>
      <c r="NO60" s="77"/>
      <c r="NP60" s="63"/>
      <c r="NQ60"/>
      <c r="NR60" s="77" t="e">
        <f t="shared" si="24"/>
        <v>#VALUE!</v>
      </c>
      <c r="NS60" s="8">
        <f t="shared" si="42"/>
        <v>0</v>
      </c>
      <c r="NT60" s="2"/>
      <c r="NU60" s="40" t="s">
        <v>306</v>
      </c>
      <c r="NV60" s="4">
        <v>7087</v>
      </c>
      <c r="NW60" s="4">
        <v>25018</v>
      </c>
      <c r="NX60" s="4"/>
      <c r="NY60" s="4"/>
      <c r="NZ60" s="4"/>
      <c r="OA60" s="4"/>
      <c r="OB60" s="4"/>
      <c r="OC60" s="4"/>
      <c r="OD60" s="4"/>
      <c r="OE60" s="77" t="e">
        <f t="shared" si="25"/>
        <v>#VALUE!</v>
      </c>
      <c r="OF60" s="8">
        <f t="shared" si="43"/>
        <v>32105</v>
      </c>
      <c r="OG60" s="2"/>
      <c r="OH60" s="1" t="s">
        <v>306</v>
      </c>
      <c r="OI60" s="1">
        <v>801</v>
      </c>
      <c r="OJ60" s="40">
        <v>2257</v>
      </c>
      <c r="OK60" s="40">
        <v>6379</v>
      </c>
      <c r="OL60" s="40">
        <v>11578</v>
      </c>
      <c r="OM60" s="40">
        <v>8085</v>
      </c>
      <c r="ON60" s="40">
        <v>2058</v>
      </c>
      <c r="OO60" s="40"/>
      <c r="OQ60" s="40"/>
      <c r="OR60" s="77" t="e">
        <f t="shared" si="48"/>
        <v>#VALUE!</v>
      </c>
      <c r="OS60" s="8">
        <f t="shared" si="49"/>
        <v>31158</v>
      </c>
      <c r="OT60" s="37"/>
      <c r="OU60" s="126">
        <f t="shared" si="50"/>
        <v>698030</v>
      </c>
      <c r="OV60" s="71" t="e">
        <f t="shared" si="44"/>
        <v>#VALUE!</v>
      </c>
      <c r="OW60" s="139">
        <f>IF(A60="","",SUM(Z$17:Z60))</f>
        <v>20000</v>
      </c>
      <c r="OX60" s="139">
        <f t="shared" si="32"/>
        <v>686872</v>
      </c>
      <c r="OY60" s="132">
        <f t="shared" si="33"/>
        <v>-3.7440319287432959E-2</v>
      </c>
      <c r="OZ60" s="140">
        <f t="shared" si="34"/>
        <v>562963</v>
      </c>
      <c r="PA60" s="84" t="e">
        <f t="shared" si="47"/>
        <v>#VALUE!</v>
      </c>
      <c r="PB60" s="130">
        <f>IF(A60="","",SUM(HB$17:HB60)+SUM(KY$17:KY60))</f>
        <v>111021.26999999999</v>
      </c>
      <c r="PC60" s="131">
        <f t="shared" si="35"/>
        <v>673984.27</v>
      </c>
      <c r="PD60" s="132">
        <f t="shared" si="36"/>
        <v>2.0382803877545177E-2</v>
      </c>
      <c r="PE60" s="133"/>
      <c r="PF60" s="134"/>
      <c r="PG60" s="133"/>
      <c r="PH60" s="134"/>
      <c r="PI60" s="135">
        <f t="shared" si="37"/>
        <v>1260993</v>
      </c>
      <c r="PJ60" s="136" t="e">
        <f t="shared" si="10"/>
        <v>#VALUE!</v>
      </c>
      <c r="PK60" s="123"/>
      <c r="PL60" s="137">
        <f t="shared" si="38"/>
        <v>131021.26999999999</v>
      </c>
      <c r="PM60" s="9">
        <f t="shared" si="39"/>
        <v>1360856.27</v>
      </c>
      <c r="PN60" s="138">
        <f t="shared" si="40"/>
        <v>-9.645319515904827E-3</v>
      </c>
      <c r="PO60" s="86">
        <f>IF(PI60="","",MAX(PI$15:PI60))</f>
        <v>1539876</v>
      </c>
      <c r="PP60" s="113">
        <f t="shared" si="11"/>
        <v>-0.22116141802531813</v>
      </c>
      <c r="PQ60" s="41"/>
      <c r="PR60" s="302"/>
    </row>
    <row r="61" spans="1:434" s="1" customFormat="1" ht="15" customHeight="1" x14ac:dyDescent="0.45">
      <c r="A61" s="18">
        <v>43923</v>
      </c>
      <c r="B61" s="1" t="s">
        <v>306</v>
      </c>
      <c r="C61" s="4">
        <v>2637</v>
      </c>
      <c r="D61" s="10"/>
      <c r="E61" s="10"/>
      <c r="F61" s="10"/>
      <c r="G61" s="4">
        <v>45711</v>
      </c>
      <c r="H61" s="4"/>
      <c r="I61" s="4"/>
      <c r="J61" s="4"/>
      <c r="K61" s="4"/>
      <c r="L61" s="4"/>
      <c r="M61" s="4"/>
      <c r="N61" s="4"/>
      <c r="O61" s="10"/>
      <c r="P61" s="4"/>
      <c r="Q61" s="4"/>
      <c r="R61" s="4"/>
      <c r="S61" s="4"/>
      <c r="T61" s="4"/>
      <c r="U61" s="10"/>
      <c r="V61" s="10"/>
      <c r="W61" s="10"/>
      <c r="X61" s="4"/>
      <c r="Y61" s="18" t="str">
        <f t="shared" si="45"/>
        <v/>
      </c>
      <c r="Z61" s="4"/>
      <c r="AA61" s="77">
        <f t="shared" si="21"/>
        <v>-5.757999506457185E-3</v>
      </c>
      <c r="AB61" s="8">
        <f t="shared" si="27"/>
        <v>48348</v>
      </c>
      <c r="AC61" s="2"/>
      <c r="AD61" s="3" t="s">
        <v>352</v>
      </c>
      <c r="AE61" s="4">
        <v>50311</v>
      </c>
      <c r="AF61" s="4">
        <v>347685</v>
      </c>
      <c r="AG61" s="4"/>
      <c r="AH61" s="4"/>
      <c r="AJ61" s="4"/>
      <c r="AK61" s="4"/>
      <c r="AL61" s="4"/>
      <c r="AM61" s="4">
        <v>19328</v>
      </c>
      <c r="AO61" s="4"/>
      <c r="AP61" s="10"/>
      <c r="AQ61" s="4"/>
      <c r="AR61" s="4"/>
      <c r="AS61" s="4"/>
      <c r="AT61" s="4"/>
      <c r="AU61" s="4"/>
      <c r="AW61" s="4"/>
      <c r="AX61" s="4"/>
      <c r="AY61" s="4"/>
      <c r="AZ61" s="4"/>
      <c r="BA61" s="4"/>
      <c r="BB61" s="4"/>
      <c r="BC61" s="4"/>
      <c r="BD61" s="4"/>
      <c r="BE61" s="4"/>
      <c r="BF61" s="4"/>
      <c r="BH61" s="4"/>
      <c r="BI61" s="4"/>
      <c r="BJ61" s="4"/>
      <c r="BK61" s="4">
        <v>17483</v>
      </c>
      <c r="BL61" s="4"/>
      <c r="BM61" s="4"/>
      <c r="BN61" s="4"/>
      <c r="BO61" s="4"/>
      <c r="BP61" s="4">
        <v>19869</v>
      </c>
      <c r="BQ61" s="4"/>
      <c r="BS61" s="10"/>
      <c r="BT61" s="4"/>
      <c r="BU61" s="4"/>
      <c r="BV61" s="4"/>
      <c r="BW61" s="4">
        <v>19342</v>
      </c>
      <c r="CA61" s="4"/>
      <c r="CB61" s="4">
        <v>15476</v>
      </c>
      <c r="CC61" s="4">
        <v>17216</v>
      </c>
      <c r="CD61" s="4"/>
      <c r="CE61" s="4"/>
      <c r="CF61" s="4"/>
      <c r="CG61" s="4"/>
      <c r="CH61" s="4"/>
      <c r="CI61" s="4"/>
      <c r="CJ61" s="10"/>
      <c r="CK61" s="4"/>
      <c r="CL61" s="10"/>
      <c r="CN61" s="4"/>
      <c r="CO61" s="10"/>
      <c r="CP61" s="4"/>
      <c r="CQ61" s="4"/>
      <c r="CR61" s="10"/>
      <c r="CS61" s="4"/>
      <c r="CT61" s="4"/>
      <c r="CU61" s="4"/>
      <c r="CV61" s="4"/>
      <c r="CW61" s="4">
        <v>16959</v>
      </c>
      <c r="CX61" s="4"/>
      <c r="CY61" s="77">
        <f t="shared" si="46"/>
        <v>-0.10657881492274017</v>
      </c>
      <c r="CZ61" s="8">
        <f t="shared" si="28"/>
        <v>523669</v>
      </c>
      <c r="DA61" s="2"/>
      <c r="DH61" s="4"/>
      <c r="DJ61" s="4"/>
      <c r="DX61" s="2"/>
      <c r="DY61" s="32"/>
      <c r="DZ61" s="4">
        <v>30145</v>
      </c>
      <c r="EA61" s="32"/>
      <c r="EB61" s="32"/>
      <c r="EC61" s="32"/>
      <c r="ED61" s="32"/>
      <c r="EE61" s="4"/>
      <c r="EF61" s="4"/>
      <c r="EG61" s="32"/>
      <c r="EH61" s="32"/>
      <c r="EI61" s="32"/>
      <c r="EJ61" s="32"/>
      <c r="EK61" s="5"/>
      <c r="EO61" s="2"/>
      <c r="EQ61" s="468" t="s">
        <v>1</v>
      </c>
      <c r="ER61"/>
      <c r="ES61" s="1" t="s">
        <v>306</v>
      </c>
      <c r="ET61" s="10"/>
      <c r="EU61" s="10"/>
      <c r="EV61" s="10"/>
      <c r="EW61" s="10"/>
      <c r="EX61" s="4">
        <v>256664</v>
      </c>
      <c r="EY61" s="4"/>
      <c r="EZ61" s="4"/>
      <c r="FA61" s="4"/>
      <c r="FB61" s="4"/>
      <c r="FC61" s="4"/>
      <c r="FD61" s="4"/>
      <c r="FE61" s="4"/>
      <c r="FF61" s="4"/>
      <c r="FG61" s="4"/>
      <c r="FH61" s="10"/>
      <c r="FI61" s="10"/>
      <c r="FJ61" s="10"/>
      <c r="FK61" s="10"/>
      <c r="FL61" s="10"/>
      <c r="FM61" s="10"/>
      <c r="FN61" s="4"/>
      <c r="FO61" s="4"/>
      <c r="FP61" s="10"/>
      <c r="FQ61" s="4"/>
      <c r="FR61" s="4"/>
      <c r="FS61" s="10"/>
      <c r="FT61" s="4"/>
      <c r="FU61" s="4"/>
      <c r="FV61" s="4"/>
      <c r="FW61" s="4"/>
      <c r="FX61" s="4"/>
      <c r="FY61" s="4"/>
      <c r="FZ61" s="10"/>
      <c r="GA61" s="10"/>
      <c r="GB61" s="10"/>
      <c r="GC61" s="10"/>
      <c r="GD61" s="4"/>
      <c r="GE61" s="4"/>
      <c r="GF61" s="4"/>
      <c r="GG61" s="4"/>
      <c r="GH61" s="4"/>
      <c r="GI61" s="4"/>
      <c r="GJ61" s="4"/>
      <c r="GK61" s="4"/>
      <c r="GL61" s="4"/>
      <c r="GM61" s="4"/>
      <c r="GN61" s="10"/>
      <c r="GO61" s="10"/>
      <c r="GP61" s="4"/>
      <c r="GQ61" s="10"/>
      <c r="GR61" s="4"/>
      <c r="GS61" s="10"/>
      <c r="GT61" s="4"/>
      <c r="GU61" s="10"/>
      <c r="GV61" s="4"/>
      <c r="GW61" s="10"/>
      <c r="GX61" s="10"/>
      <c r="GY61" s="10"/>
      <c r="GZ61" s="10"/>
      <c r="HA61" s="18"/>
      <c r="HB61" s="4"/>
      <c r="HC61" s="77">
        <f t="shared" si="22"/>
        <v>1.3811400257500682E-3</v>
      </c>
      <c r="HD61" s="8">
        <f t="shared" si="29"/>
        <v>256664</v>
      </c>
      <c r="HE61" s="2"/>
      <c r="HF61" s="33" t="s">
        <v>306</v>
      </c>
      <c r="HG61" s="4">
        <v>307063</v>
      </c>
      <c r="HH61" s="4"/>
      <c r="HI61" s="4"/>
      <c r="HJ61" s="4"/>
      <c r="HK61" s="4"/>
      <c r="HL61" s="4"/>
      <c r="HM61" s="4"/>
      <c r="HN61" s="4"/>
      <c r="HO61" s="4"/>
      <c r="HP61" s="4"/>
      <c r="HQ61" s="4"/>
      <c r="HR61" s="4"/>
      <c r="HS61" s="4"/>
      <c r="HT61" s="10"/>
      <c r="HU61" s="10"/>
      <c r="HV61" s="4"/>
      <c r="HW61" s="4"/>
      <c r="HX61" s="4"/>
      <c r="HY61" s="4"/>
      <c r="HZ61" s="4"/>
      <c r="IA61" s="4"/>
      <c r="IB61" s="4"/>
      <c r="IC61" s="4"/>
      <c r="ID61" s="10"/>
      <c r="IE61" s="4"/>
      <c r="IF61" s="10"/>
      <c r="IG61" s="4"/>
      <c r="IH61" s="4"/>
      <c r="II61" s="4"/>
      <c r="IJ61" s="4"/>
      <c r="IK61" s="4"/>
      <c r="IL61" s="4"/>
      <c r="IM61" s="4"/>
      <c r="IN61" s="4"/>
      <c r="IO61" s="4"/>
      <c r="IP61" s="4"/>
      <c r="IQ61" s="4"/>
      <c r="IR61" s="4"/>
      <c r="IS61" s="4"/>
      <c r="IT61" s="10"/>
      <c r="IU61" s="4"/>
      <c r="IV61" s="4"/>
      <c r="IW61" s="4"/>
      <c r="IX61" s="10"/>
      <c r="IY61" s="4"/>
      <c r="IZ61" s="4"/>
      <c r="JA61" s="4"/>
      <c r="JB61" s="4"/>
      <c r="JC61" s="4"/>
      <c r="JD61" s="4"/>
      <c r="JE61" s="4"/>
      <c r="JF61" s="10"/>
      <c r="JG61" s="10"/>
      <c r="JH61" s="10"/>
      <c r="JI61" s="4"/>
      <c r="JJ61" s="4"/>
      <c r="JK61" s="4"/>
      <c r="JL61" s="4"/>
      <c r="JM61" s="4"/>
      <c r="JN61" s="10"/>
      <c r="JO61" s="10"/>
      <c r="JP61" s="4"/>
      <c r="JQ61" s="4"/>
      <c r="JR61" s="4"/>
      <c r="JS61" s="4"/>
      <c r="JT61" s="4"/>
      <c r="JU61" s="10"/>
      <c r="JV61" s="4"/>
      <c r="JW61" s="4"/>
      <c r="JX61" s="4"/>
      <c r="JY61" s="4"/>
      <c r="JZ61" s="4"/>
      <c r="KA61" s="4"/>
      <c r="KB61" s="4"/>
      <c r="KC61" s="4"/>
      <c r="KD61" s="10"/>
      <c r="KE61" s="10"/>
      <c r="KF61" s="10"/>
      <c r="KG61" s="4"/>
      <c r="KH61" s="10"/>
      <c r="KI61" s="10"/>
      <c r="KJ61" s="10"/>
      <c r="KK61" s="10"/>
      <c r="KL61" s="4"/>
      <c r="KM61" s="10"/>
      <c r="KN61" s="4"/>
      <c r="KO61" s="4"/>
      <c r="KP61" s="4"/>
      <c r="KQ61" s="4"/>
      <c r="KR61" s="10"/>
      <c r="KS61" s="4"/>
      <c r="KT61" s="4"/>
      <c r="KU61" s="4"/>
      <c r="KV61" s="4"/>
      <c r="KW61" s="4"/>
      <c r="KX61" s="18"/>
      <c r="KY61" s="4"/>
      <c r="KZ61" s="77">
        <f t="shared" si="23"/>
        <v>1.3370161061525567E-3</v>
      </c>
      <c r="LA61" s="8">
        <f t="shared" si="30"/>
        <v>307063</v>
      </c>
      <c r="LB61" s="2"/>
      <c r="LC61" s="43"/>
      <c r="MO61" s="172"/>
      <c r="NO61" s="77"/>
      <c r="NP61" s="63"/>
      <c r="NQ61"/>
      <c r="NR61" s="77" t="e">
        <f t="shared" si="24"/>
        <v>#DIV/0!</v>
      </c>
      <c r="NS61" s="8">
        <f t="shared" si="42"/>
        <v>0</v>
      </c>
      <c r="NT61" s="2"/>
      <c r="NU61" s="40" t="s">
        <v>306</v>
      </c>
      <c r="NV61" s="4">
        <v>30145</v>
      </c>
      <c r="NW61" s="4"/>
      <c r="NX61" s="4"/>
      <c r="NY61" s="4"/>
      <c r="NZ61" s="4"/>
      <c r="OA61" s="4"/>
      <c r="OB61" s="4"/>
      <c r="OC61" s="4"/>
      <c r="OD61" s="4"/>
      <c r="OE61" s="77">
        <f t="shared" si="25"/>
        <v>-6.1049680735087992E-2</v>
      </c>
      <c r="OF61" s="8">
        <f t="shared" si="43"/>
        <v>30145</v>
      </c>
      <c r="OG61" s="2"/>
      <c r="OH61" s="1" t="s">
        <v>306</v>
      </c>
      <c r="OI61" s="1">
        <v>803</v>
      </c>
      <c r="OJ61" s="40">
        <v>2251</v>
      </c>
      <c r="OK61" s="40">
        <v>6348</v>
      </c>
      <c r="OL61" s="40">
        <v>11649</v>
      </c>
      <c r="OM61" s="40">
        <v>7917</v>
      </c>
      <c r="ON61" s="40">
        <v>2072</v>
      </c>
      <c r="OO61" s="40"/>
      <c r="OQ61" s="40"/>
      <c r="OR61" s="77">
        <f t="shared" si="48"/>
        <v>-3.7871493677386226E-3</v>
      </c>
      <c r="OS61" s="8">
        <f t="shared" si="49"/>
        <v>31040</v>
      </c>
      <c r="OT61" s="37"/>
      <c r="OU61" s="126">
        <f t="shared" si="50"/>
        <v>633202</v>
      </c>
      <c r="OV61" s="71">
        <f t="shared" si="44"/>
        <v>-9.2872799163359734E-2</v>
      </c>
      <c r="OW61" s="139">
        <f>IF(A61="","",SUM(Z$17:Z61))</f>
        <v>20000</v>
      </c>
      <c r="OX61" s="139">
        <f t="shared" si="32"/>
        <v>622162</v>
      </c>
      <c r="OY61" s="132">
        <f t="shared" si="33"/>
        <v>-0.12812277095078539</v>
      </c>
      <c r="OZ61" s="140">
        <f t="shared" si="34"/>
        <v>563727</v>
      </c>
      <c r="PA61" s="84">
        <f t="shared" si="47"/>
        <v>1.3571051738746596E-3</v>
      </c>
      <c r="PB61" s="130">
        <f>IF(A61="","",SUM(HB$17:HB61)+SUM(KY$17:KY61))</f>
        <v>111021.26999999999</v>
      </c>
      <c r="PC61" s="131">
        <f t="shared" si="35"/>
        <v>674748.27</v>
      </c>
      <c r="PD61" s="132">
        <f t="shared" si="36"/>
        <v>2.1539466572599537E-2</v>
      </c>
      <c r="PE61" s="133"/>
      <c r="PF61" s="134"/>
      <c r="PG61" s="133"/>
      <c r="PH61" s="134"/>
      <c r="PI61" s="135">
        <f t="shared" si="37"/>
        <v>1196929</v>
      </c>
      <c r="PJ61" s="136">
        <f t="shared" si="10"/>
        <v>-5.0804405734211057E-2</v>
      </c>
      <c r="PK61" s="123"/>
      <c r="PL61" s="137">
        <f t="shared" si="38"/>
        <v>131021.26999999999</v>
      </c>
      <c r="PM61" s="9">
        <f t="shared" si="39"/>
        <v>1296910.27</v>
      </c>
      <c r="PN61" s="138">
        <f t="shared" si="40"/>
        <v>-5.6181623014169159E-2</v>
      </c>
      <c r="PO61" s="86">
        <f>IF(PI61="","",MAX(PI$15:PI61))</f>
        <v>1539876</v>
      </c>
      <c r="PP61" s="113">
        <f t="shared" si="11"/>
        <v>-0.28652242530676425</v>
      </c>
      <c r="PQ61" s="41"/>
      <c r="PR61" s="302"/>
    </row>
    <row r="62" spans="1:434" s="1" customFormat="1" ht="15" customHeight="1" x14ac:dyDescent="0.45">
      <c r="A62" s="18">
        <v>43928</v>
      </c>
      <c r="B62" s="29" t="s">
        <v>306</v>
      </c>
      <c r="C62" s="4"/>
      <c r="D62" s="10"/>
      <c r="E62" s="10"/>
      <c r="F62" s="10"/>
      <c r="G62" s="4"/>
      <c r="H62" s="4"/>
      <c r="I62" s="4">
        <v>20182</v>
      </c>
      <c r="J62" s="4">
        <v>11491</v>
      </c>
      <c r="K62" s="4"/>
      <c r="L62" s="4">
        <v>16067</v>
      </c>
      <c r="M62" s="4">
        <v>15723</v>
      </c>
      <c r="N62" s="4"/>
      <c r="O62" s="10"/>
      <c r="P62" s="4"/>
      <c r="Q62" s="4"/>
      <c r="R62" s="4"/>
      <c r="S62" s="4"/>
      <c r="T62" s="4">
        <v>15968</v>
      </c>
      <c r="U62" s="10"/>
      <c r="V62" s="10"/>
      <c r="W62" s="10"/>
      <c r="X62" s="4"/>
      <c r="Y62" s="18" t="str">
        <f t="shared" si="45"/>
        <v/>
      </c>
      <c r="Z62" s="4"/>
      <c r="AA62" s="77">
        <f t="shared" si="21"/>
        <v>4.3848763133945562E-3</v>
      </c>
      <c r="AB62" s="38">
        <v>48560</v>
      </c>
      <c r="AC62" s="2"/>
      <c r="AD62" s="3" t="s">
        <v>353</v>
      </c>
      <c r="AE62" s="4"/>
      <c r="AF62" s="4"/>
      <c r="AG62" s="4"/>
      <c r="AH62" s="4"/>
      <c r="AJ62" s="4"/>
      <c r="AK62" s="4"/>
      <c r="AL62" s="4"/>
      <c r="AM62" s="4"/>
      <c r="AO62" s="4"/>
      <c r="AP62" s="10"/>
      <c r="AQ62" s="4"/>
      <c r="AR62" s="4"/>
      <c r="AS62" s="4"/>
      <c r="AT62" s="4"/>
      <c r="AU62" s="4"/>
      <c r="AW62" s="4"/>
      <c r="AX62" s="4"/>
      <c r="AY62" s="4"/>
      <c r="AZ62" s="4"/>
      <c r="BA62" s="4"/>
      <c r="BB62" s="4"/>
      <c r="BC62" s="4"/>
      <c r="BD62" s="4"/>
      <c r="BE62" s="4"/>
      <c r="BF62" s="4"/>
      <c r="BH62" s="4"/>
      <c r="BI62" s="4"/>
      <c r="BJ62" s="4"/>
      <c r="BK62" s="4"/>
      <c r="BL62" s="4"/>
      <c r="BM62" s="4"/>
      <c r="BN62" s="4"/>
      <c r="BO62" s="4"/>
      <c r="BP62" s="4"/>
      <c r="BQ62" s="4"/>
      <c r="BS62" s="10"/>
      <c r="BT62" s="4"/>
      <c r="BU62" s="4"/>
      <c r="BV62" s="4"/>
      <c r="BW62" s="4"/>
      <c r="CA62" s="4"/>
      <c r="CB62" s="4"/>
      <c r="CC62" s="4"/>
      <c r="CD62" s="4"/>
      <c r="CE62" s="4"/>
      <c r="CF62" s="4"/>
      <c r="CG62" s="4"/>
      <c r="CH62" s="4"/>
      <c r="CI62" s="4"/>
      <c r="CJ62" s="10"/>
      <c r="CK62" s="4"/>
      <c r="CL62" s="10"/>
      <c r="CN62" s="4"/>
      <c r="CO62" s="10"/>
      <c r="CP62" s="4"/>
      <c r="CQ62" s="4"/>
      <c r="CR62" s="10"/>
      <c r="CS62" s="4"/>
      <c r="CT62" s="4"/>
      <c r="CU62" s="4"/>
      <c r="CV62" s="4"/>
      <c r="CW62" s="4"/>
      <c r="CX62" s="4"/>
      <c r="CY62" s="77">
        <f t="shared" si="46"/>
        <v>-1</v>
      </c>
      <c r="CZ62" s="8"/>
      <c r="DA62" s="2"/>
      <c r="DH62" s="4"/>
      <c r="DJ62" s="4"/>
      <c r="DX62" s="2"/>
      <c r="DY62" s="32"/>
      <c r="DZ62" s="4"/>
      <c r="EA62" s="32"/>
      <c r="EB62" s="32"/>
      <c r="EC62" s="32"/>
      <c r="ED62" s="32"/>
      <c r="EE62" s="4"/>
      <c r="EF62" s="4"/>
      <c r="EG62" s="32"/>
      <c r="EH62" s="32"/>
      <c r="EI62" s="32"/>
      <c r="EJ62" s="32"/>
      <c r="EK62" s="5"/>
      <c r="EO62" s="2"/>
      <c r="EQ62" s="468" t="s">
        <v>1</v>
      </c>
      <c r="ER62"/>
      <c r="ES62" s="6" t="s">
        <v>354</v>
      </c>
      <c r="ET62" s="10"/>
      <c r="EU62" s="10"/>
      <c r="EV62" s="10"/>
      <c r="EW62" s="10"/>
      <c r="EX62" s="4">
        <v>1109</v>
      </c>
      <c r="EY62" s="4"/>
      <c r="EZ62" s="4"/>
      <c r="FA62" s="4"/>
      <c r="FB62" s="4"/>
      <c r="FC62" s="4">
        <v>16137</v>
      </c>
      <c r="FD62" s="4">
        <v>15212</v>
      </c>
      <c r="FE62" s="4">
        <v>14767</v>
      </c>
      <c r="FF62" s="4">
        <v>14483</v>
      </c>
      <c r="FG62" s="4">
        <v>5996</v>
      </c>
      <c r="FH62" s="10"/>
      <c r="FI62" s="10"/>
      <c r="FJ62" s="10"/>
      <c r="FK62" s="10"/>
      <c r="FL62" s="10"/>
      <c r="FM62" s="10"/>
      <c r="FN62" s="4"/>
      <c r="FO62" s="4"/>
      <c r="FP62" s="10"/>
      <c r="FQ62" s="4"/>
      <c r="FR62" s="4"/>
      <c r="FS62" s="10"/>
      <c r="FT62" s="4">
        <v>20182</v>
      </c>
      <c r="FU62" s="4">
        <v>11491</v>
      </c>
      <c r="FV62" s="4">
        <v>14701</v>
      </c>
      <c r="FW62" s="4"/>
      <c r="FX62" s="4"/>
      <c r="FY62" s="4">
        <v>16067</v>
      </c>
      <c r="FZ62" s="10"/>
      <c r="GA62" s="10"/>
      <c r="GB62" s="10"/>
      <c r="GC62" s="10">
        <v>15533</v>
      </c>
      <c r="GD62" s="4">
        <v>15723</v>
      </c>
      <c r="GE62" s="4">
        <v>15844</v>
      </c>
      <c r="GF62" s="4"/>
      <c r="GG62" s="4"/>
      <c r="GH62" s="4"/>
      <c r="GI62" s="4"/>
      <c r="GJ62" s="4"/>
      <c r="GK62" s="4">
        <v>15544</v>
      </c>
      <c r="GL62" s="4"/>
      <c r="GM62" s="4"/>
      <c r="GN62" s="10"/>
      <c r="GO62" s="10"/>
      <c r="GP62" s="4"/>
      <c r="GQ62" s="10">
        <v>14937</v>
      </c>
      <c r="GR62" s="4"/>
      <c r="GS62" s="10"/>
      <c r="GT62" s="4"/>
      <c r="GU62" s="10">
        <v>14752</v>
      </c>
      <c r="GV62" s="4">
        <v>15968</v>
      </c>
      <c r="GW62" s="10"/>
      <c r="GX62" s="10"/>
      <c r="GY62" s="10">
        <v>16142</v>
      </c>
      <c r="GZ62" s="10"/>
      <c r="HA62" s="18"/>
      <c r="HB62" s="4"/>
      <c r="HC62" s="77">
        <f t="shared" si="22"/>
        <v>-8.0883957235919329E-3</v>
      </c>
      <c r="HD62" s="8">
        <f t="shared" ref="HD62:HD93" si="51">IF(A62="","",SUM(ET62:GZ62))</f>
        <v>254588</v>
      </c>
      <c r="HE62" s="2"/>
      <c r="HF62" s="3" t="s">
        <v>355</v>
      </c>
      <c r="HG62" s="4"/>
      <c r="HH62" s="4"/>
      <c r="HI62" s="4"/>
      <c r="HJ62" s="4"/>
      <c r="HK62" s="4"/>
      <c r="HL62" s="4"/>
      <c r="HM62" s="4"/>
      <c r="HN62" s="4"/>
      <c r="HO62" s="4"/>
      <c r="HP62" s="4"/>
      <c r="HQ62" s="4"/>
      <c r="HR62" s="4"/>
      <c r="HS62" s="4"/>
      <c r="HT62" s="10"/>
      <c r="HU62" s="10"/>
      <c r="HV62" s="4"/>
      <c r="HW62" s="4"/>
      <c r="HX62" s="4"/>
      <c r="HY62" s="4"/>
      <c r="HZ62" s="4"/>
      <c r="IA62" s="4"/>
      <c r="IB62" s="4"/>
      <c r="IC62" s="4"/>
      <c r="ID62" s="10"/>
      <c r="IE62" s="4"/>
      <c r="IF62" s="10"/>
      <c r="IG62" s="4"/>
      <c r="IH62" s="4"/>
      <c r="II62" s="4"/>
      <c r="IJ62" s="4"/>
      <c r="IK62" s="4"/>
      <c r="IL62" s="4"/>
      <c r="IM62" s="4"/>
      <c r="IN62" s="4"/>
      <c r="IO62" s="4"/>
      <c r="IP62" s="4"/>
      <c r="IQ62" s="4"/>
      <c r="IR62" s="4"/>
      <c r="IS62" s="4"/>
      <c r="IT62" s="10"/>
      <c r="IU62" s="4"/>
      <c r="IV62" s="4"/>
      <c r="IW62" s="4"/>
      <c r="IX62" s="10"/>
      <c r="IY62" s="4"/>
      <c r="IZ62" s="4"/>
      <c r="JA62" s="4"/>
      <c r="JB62" s="4"/>
      <c r="JC62" s="4"/>
      <c r="JD62" s="4"/>
      <c r="JE62" s="4"/>
      <c r="JF62" s="10"/>
      <c r="JG62" s="10"/>
      <c r="JH62" s="10"/>
      <c r="JI62" s="4"/>
      <c r="JJ62" s="4"/>
      <c r="JK62" s="4"/>
      <c r="JL62" s="4"/>
      <c r="JM62" s="4"/>
      <c r="JN62" s="10"/>
      <c r="JO62" s="10"/>
      <c r="JP62" s="4"/>
      <c r="JQ62" s="4"/>
      <c r="JR62" s="4"/>
      <c r="JS62" s="4"/>
      <c r="JT62" s="4"/>
      <c r="JU62" s="10"/>
      <c r="JV62" s="4"/>
      <c r="JW62" s="4"/>
      <c r="JX62" s="4"/>
      <c r="JY62" s="4"/>
      <c r="JZ62" s="4"/>
      <c r="KA62" s="4"/>
      <c r="KB62" s="4"/>
      <c r="KC62" s="4"/>
      <c r="KD62" s="10"/>
      <c r="KE62" s="10"/>
      <c r="KF62" s="10"/>
      <c r="KG62" s="4"/>
      <c r="KH62" s="10"/>
      <c r="KI62" s="10"/>
      <c r="KJ62" s="10"/>
      <c r="KK62" s="10"/>
      <c r="KL62" s="4"/>
      <c r="KM62" s="10"/>
      <c r="KN62" s="4"/>
      <c r="KO62" s="4"/>
      <c r="KP62" s="4"/>
      <c r="KQ62" s="4"/>
      <c r="KR62" s="10"/>
      <c r="KS62" s="4"/>
      <c r="KT62" s="4"/>
      <c r="KU62" s="4"/>
      <c r="KV62" s="4"/>
      <c r="KW62" s="4"/>
      <c r="KX62" s="18"/>
      <c r="KY62" s="4"/>
      <c r="KZ62" s="77">
        <f t="shared" si="23"/>
        <v>-3.9405594291725153E-4</v>
      </c>
      <c r="LA62" s="38">
        <v>306942</v>
      </c>
      <c r="LB62" s="2"/>
      <c r="LC62" s="43"/>
      <c r="MO62" s="172"/>
      <c r="NO62" s="77"/>
      <c r="NP62" s="63"/>
      <c r="NQ62"/>
      <c r="NR62" s="77" t="e">
        <f t="shared" si="24"/>
        <v>#DIV/0!</v>
      </c>
      <c r="NS62" s="8">
        <f t="shared" si="42"/>
        <v>0</v>
      </c>
      <c r="NT62" s="2"/>
      <c r="NU62" s="40" t="s">
        <v>306</v>
      </c>
      <c r="NV62" s="4"/>
      <c r="NW62" s="4"/>
      <c r="NX62" s="4"/>
      <c r="NY62" s="4"/>
      <c r="NZ62" s="4"/>
      <c r="OA62" s="4"/>
      <c r="OB62" s="4"/>
      <c r="OC62" s="4"/>
      <c r="OD62" s="4"/>
      <c r="OE62" s="77">
        <f t="shared" si="25"/>
        <v>-1</v>
      </c>
      <c r="OF62" s="8">
        <f t="shared" si="43"/>
        <v>0</v>
      </c>
      <c r="OG62" s="2"/>
      <c r="OJ62" s="40"/>
      <c r="OK62" s="40"/>
      <c r="OL62" s="40"/>
      <c r="OM62" s="40"/>
      <c r="ON62" s="40"/>
      <c r="OO62" s="40"/>
      <c r="OQ62" s="40"/>
      <c r="OR62" s="77">
        <f t="shared" si="48"/>
        <v>-1</v>
      </c>
      <c r="OS62" s="8">
        <f t="shared" si="49"/>
        <v>0</v>
      </c>
      <c r="OT62" s="37"/>
      <c r="OU62" s="141">
        <f t="shared" si="50"/>
        <v>48560</v>
      </c>
      <c r="OV62" s="71">
        <f t="shared" si="44"/>
        <v>-0.9233104127908629</v>
      </c>
      <c r="OW62" s="127">
        <f>IF(A62="","",SUM(Z$17:Z62))</f>
        <v>20000</v>
      </c>
      <c r="OX62" s="127">
        <f t="shared" ref="OX62:OX93" si="52">IF(A62="","",AB62+CZ62+OF62+OW62)</f>
        <v>68560</v>
      </c>
      <c r="OY62" s="128">
        <f t="shared" ref="OY62:OY93" si="53">IF(A62="","",(OX62-OX$16)/OX$16)</f>
        <v>-0.90392228579756695</v>
      </c>
      <c r="OZ62" s="142">
        <f t="shared" si="34"/>
        <v>561530</v>
      </c>
      <c r="PA62" s="84">
        <f t="shared" si="47"/>
        <v>-3.8972765185985416E-3</v>
      </c>
      <c r="PB62" s="143">
        <f>IF(A62="","",SUM(HB$17:HB62)+SUM(KY$17:KY62))</f>
        <v>111021.26999999999</v>
      </c>
      <c r="PC62" s="144">
        <f t="shared" ref="PC62:PC93" si="54">IF(A62="","",HD62+LA62+PB62)</f>
        <v>672551.27</v>
      </c>
      <c r="PD62" s="128">
        <f t="shared" ref="PD62:PD93" si="55">IF(A62="","",(PC62-PC$16)/PC$16)</f>
        <v>1.8213304346114685E-2</v>
      </c>
      <c r="PE62" s="145"/>
      <c r="PF62" s="146"/>
      <c r="PG62" s="145"/>
      <c r="PH62" s="146"/>
      <c r="PI62" s="147">
        <f t="shared" ref="PI62:PI93" si="56">IF(A62="","",OU62+OZ62)</f>
        <v>610090</v>
      </c>
      <c r="PJ62" s="136">
        <f t="shared" si="10"/>
        <v>-0.49028722672773406</v>
      </c>
      <c r="PK62" s="148"/>
      <c r="PL62" s="149">
        <f t="shared" ref="PL62:PL93" si="57">IF(A62="","",OW62+PB62)</f>
        <v>131021.26999999999</v>
      </c>
      <c r="PM62" s="150">
        <f t="shared" ref="PM62:PM93" si="58">IF(A62="","",OX62+PC62)</f>
        <v>741111.27</v>
      </c>
      <c r="PN62" s="151">
        <f t="shared" ref="PN62:PN93" si="59">IF(A62="","",(PM62-PM$16)/PM$16)</f>
        <v>-0.46066088595527288</v>
      </c>
      <c r="PO62" s="86">
        <f>IF(PI62="","",MAX(PI$15:PI62))</f>
        <v>1539876</v>
      </c>
      <c r="PP62" s="113">
        <f t="shared" si="11"/>
        <v>-1.5240144896654593</v>
      </c>
      <c r="PQ62" s="41"/>
      <c r="PR62" s="302"/>
    </row>
    <row r="63" spans="1:434" s="1" customFormat="1" ht="15" customHeight="1" x14ac:dyDescent="0.45">
      <c r="A63" s="18">
        <v>43953</v>
      </c>
      <c r="B63" s="3"/>
      <c r="C63" s="4">
        <v>2739</v>
      </c>
      <c r="D63" s="10"/>
      <c r="E63" s="10"/>
      <c r="F63" s="10"/>
      <c r="G63" s="4">
        <v>46986</v>
      </c>
      <c r="H63" s="4"/>
      <c r="I63" s="4">
        <v>20740</v>
      </c>
      <c r="J63" s="4">
        <v>11600</v>
      </c>
      <c r="K63" s="4"/>
      <c r="L63" s="4">
        <v>16319</v>
      </c>
      <c r="M63" s="4">
        <v>16584</v>
      </c>
      <c r="N63" s="4"/>
      <c r="O63" s="10"/>
      <c r="P63" s="4"/>
      <c r="Q63" s="4"/>
      <c r="R63" s="4"/>
      <c r="S63" s="4"/>
      <c r="T63" s="4">
        <v>17074</v>
      </c>
      <c r="U63" s="10"/>
      <c r="V63" s="10"/>
      <c r="W63" s="10"/>
      <c r="X63" s="4"/>
      <c r="Y63" s="18" t="str">
        <f t="shared" si="45"/>
        <v/>
      </c>
      <c r="Z63" s="4"/>
      <c r="AA63" s="77">
        <f t="shared" si="21"/>
        <v>1.7191515650741351</v>
      </c>
      <c r="AB63" s="8">
        <f t="shared" ref="AB63:AB94" si="60">IF(A63="","",SUM(C63:X63))</f>
        <v>132042</v>
      </c>
      <c r="AC63" s="2"/>
      <c r="AD63" s="3"/>
      <c r="AE63" s="4">
        <v>105219</v>
      </c>
      <c r="AF63" s="4">
        <v>325277</v>
      </c>
      <c r="AG63" s="4"/>
      <c r="AH63" s="4">
        <v>17344</v>
      </c>
      <c r="AJ63" s="4"/>
      <c r="AK63" s="4"/>
      <c r="AL63" s="4"/>
      <c r="AM63" s="4">
        <v>20031</v>
      </c>
      <c r="AO63" s="4"/>
      <c r="AP63" s="10"/>
      <c r="AQ63" s="4"/>
      <c r="AR63" s="4"/>
      <c r="AS63" s="4"/>
      <c r="AT63" s="4"/>
      <c r="AU63" s="4"/>
      <c r="AW63" s="4"/>
      <c r="AX63" s="4"/>
      <c r="AY63" s="4"/>
      <c r="AZ63" s="4"/>
      <c r="BA63" s="4"/>
      <c r="BB63" s="4"/>
      <c r="BC63" s="4"/>
      <c r="BD63" s="4"/>
      <c r="BE63" s="4">
        <v>15808</v>
      </c>
      <c r="BF63" s="4"/>
      <c r="BH63" s="4"/>
      <c r="BI63" s="4"/>
      <c r="BJ63" s="4"/>
      <c r="BK63" s="4">
        <v>20440</v>
      </c>
      <c r="BL63" s="4"/>
      <c r="BM63" s="4"/>
      <c r="BN63" s="4">
        <v>15185</v>
      </c>
      <c r="BO63" s="4"/>
      <c r="BP63" s="4">
        <v>22392</v>
      </c>
      <c r="BQ63" s="4"/>
      <c r="BS63" s="10"/>
      <c r="BT63" s="4"/>
      <c r="BU63" s="4"/>
      <c r="BV63" s="4"/>
      <c r="BW63" s="4"/>
      <c r="CA63" s="4"/>
      <c r="CB63" s="4">
        <v>18211</v>
      </c>
      <c r="CC63" s="4">
        <v>17468</v>
      </c>
      <c r="CD63" s="4"/>
      <c r="CE63" s="4"/>
      <c r="CF63" s="4"/>
      <c r="CG63" s="4"/>
      <c r="CH63" s="4"/>
      <c r="CI63" s="4"/>
      <c r="CJ63" s="10"/>
      <c r="CK63" s="4"/>
      <c r="CL63" s="10"/>
      <c r="CN63" s="4"/>
      <c r="CO63" s="10"/>
      <c r="CP63" s="4"/>
      <c r="CQ63" s="4">
        <v>12870</v>
      </c>
      <c r="CR63" s="10"/>
      <c r="CS63" s="4"/>
      <c r="CT63" s="4"/>
      <c r="CU63" s="4">
        <v>16788</v>
      </c>
      <c r="CV63" s="4"/>
      <c r="CW63" s="4">
        <v>19121</v>
      </c>
      <c r="CX63" s="4"/>
      <c r="CY63" s="77" t="e">
        <f t="shared" si="46"/>
        <v>#DIV/0!</v>
      </c>
      <c r="CZ63" s="8">
        <f t="shared" ref="CZ63:CZ94" si="61">IF(A63="","",SUM(AE63:CX63))</f>
        <v>626154</v>
      </c>
      <c r="DA63" s="2"/>
      <c r="DH63" s="4"/>
      <c r="DJ63" s="4"/>
      <c r="DX63" s="2"/>
      <c r="DY63" s="32"/>
      <c r="DZ63" s="4">
        <v>30146</v>
      </c>
      <c r="EA63" s="32"/>
      <c r="EB63" s="32"/>
      <c r="EC63" s="32"/>
      <c r="ED63" s="32"/>
      <c r="EE63" s="4"/>
      <c r="EF63" s="4"/>
      <c r="EG63" s="32"/>
      <c r="EH63" s="32"/>
      <c r="EI63" s="32"/>
      <c r="EJ63" s="32"/>
      <c r="EK63" s="5"/>
      <c r="EO63" s="2"/>
      <c r="EQ63" s="468" t="s">
        <v>1</v>
      </c>
      <c r="ER63"/>
      <c r="ES63" s="6"/>
      <c r="ET63" s="10"/>
      <c r="EU63" s="10"/>
      <c r="EV63" s="10"/>
      <c r="EW63" s="10"/>
      <c r="EX63" s="4">
        <v>3169</v>
      </c>
      <c r="EY63" s="4"/>
      <c r="EZ63" s="4"/>
      <c r="FA63" s="4"/>
      <c r="FB63" s="4"/>
      <c r="FC63" s="4">
        <v>18288</v>
      </c>
      <c r="FD63" s="4">
        <v>16669</v>
      </c>
      <c r="FE63" s="4">
        <v>15932</v>
      </c>
      <c r="FF63" s="4">
        <v>15010</v>
      </c>
      <c r="FG63" s="4">
        <v>6038</v>
      </c>
      <c r="FH63" s="10"/>
      <c r="FI63" s="10"/>
      <c r="FJ63" s="10"/>
      <c r="FK63" s="10"/>
      <c r="FL63" s="10"/>
      <c r="FM63" s="10"/>
      <c r="FN63" s="4"/>
      <c r="FO63" s="4"/>
      <c r="FP63" s="10"/>
      <c r="FQ63" s="4"/>
      <c r="FR63" s="4"/>
      <c r="FS63" s="10"/>
      <c r="FT63" s="4">
        <v>20740</v>
      </c>
      <c r="FU63" s="4">
        <v>11600</v>
      </c>
      <c r="FV63" s="4">
        <v>15866</v>
      </c>
      <c r="FW63" s="4"/>
      <c r="FX63" s="4"/>
      <c r="FY63" s="4">
        <v>16319</v>
      </c>
      <c r="FZ63" s="10"/>
      <c r="GA63" s="10"/>
      <c r="GB63" s="10"/>
      <c r="GC63" s="10">
        <v>15164</v>
      </c>
      <c r="GD63" s="4">
        <v>16584</v>
      </c>
      <c r="GE63" s="4">
        <v>15930</v>
      </c>
      <c r="GF63" s="4"/>
      <c r="GG63" s="4"/>
      <c r="GH63" s="4"/>
      <c r="GI63" s="4"/>
      <c r="GJ63" s="4"/>
      <c r="GK63" s="4">
        <v>15544</v>
      </c>
      <c r="GL63" s="4"/>
      <c r="GM63" s="4"/>
      <c r="GN63" s="10"/>
      <c r="GO63" s="10"/>
      <c r="GP63" s="4"/>
      <c r="GQ63" s="10">
        <v>17071</v>
      </c>
      <c r="GR63" s="4"/>
      <c r="GS63" s="10"/>
      <c r="GT63" s="4"/>
      <c r="GU63" s="10">
        <v>17628</v>
      </c>
      <c r="GV63" s="4">
        <v>17074</v>
      </c>
      <c r="GW63" s="10"/>
      <c r="GX63" s="10"/>
      <c r="GY63" s="10">
        <v>17187</v>
      </c>
      <c r="GZ63" s="10"/>
      <c r="HA63" s="18"/>
      <c r="HB63" s="4"/>
      <c r="HC63" s="77">
        <f t="shared" si="22"/>
        <v>6.765833424984681E-2</v>
      </c>
      <c r="HD63" s="8">
        <f t="shared" si="51"/>
        <v>271813</v>
      </c>
      <c r="HE63" s="2"/>
      <c r="HF63" s="3"/>
      <c r="HG63" s="4">
        <v>11047</v>
      </c>
      <c r="HH63" s="4">
        <v>17344</v>
      </c>
      <c r="HI63" s="4"/>
      <c r="HJ63" s="4"/>
      <c r="HK63" s="4"/>
      <c r="HL63" s="4"/>
      <c r="HM63" s="4"/>
      <c r="HN63" s="4"/>
      <c r="HO63" s="4"/>
      <c r="HP63" s="4">
        <v>13878</v>
      </c>
      <c r="HQ63" s="4"/>
      <c r="HR63" s="4"/>
      <c r="HS63" s="4"/>
      <c r="HT63" s="10"/>
      <c r="HU63" s="10"/>
      <c r="HV63" s="4"/>
      <c r="HW63" s="4"/>
      <c r="HX63" s="4"/>
      <c r="HY63" s="4"/>
      <c r="HZ63" s="4"/>
      <c r="IA63" s="4">
        <v>16950</v>
      </c>
      <c r="IB63" s="4"/>
      <c r="IC63" s="4">
        <v>19042</v>
      </c>
      <c r="ID63" s="10"/>
      <c r="IE63" s="4">
        <v>15858</v>
      </c>
      <c r="IF63" s="10"/>
      <c r="IG63" s="4"/>
      <c r="IH63" s="4">
        <v>17193</v>
      </c>
      <c r="II63" s="4"/>
      <c r="IJ63" s="4"/>
      <c r="IK63" s="4"/>
      <c r="IL63" s="4"/>
      <c r="IM63" s="4">
        <v>15808</v>
      </c>
      <c r="IN63" s="4"/>
      <c r="IO63" s="4"/>
      <c r="IP63" s="4"/>
      <c r="IQ63" s="4"/>
      <c r="IR63" s="4"/>
      <c r="IS63" s="4">
        <v>15185</v>
      </c>
      <c r="IT63" s="10"/>
      <c r="IU63" s="4">
        <v>11341</v>
      </c>
      <c r="IV63" s="4"/>
      <c r="IW63" s="4">
        <v>16312</v>
      </c>
      <c r="IX63" s="10"/>
      <c r="IY63" s="4"/>
      <c r="IZ63" s="4">
        <v>14820</v>
      </c>
      <c r="JA63" s="4"/>
      <c r="JB63" s="4"/>
      <c r="JC63" s="4">
        <v>15339</v>
      </c>
      <c r="JD63" s="4"/>
      <c r="JE63" s="4"/>
      <c r="JF63" s="10"/>
      <c r="JG63" s="10"/>
      <c r="JH63" s="10"/>
      <c r="JI63" s="4"/>
      <c r="JJ63" s="4"/>
      <c r="JK63" s="4"/>
      <c r="JL63" s="4"/>
      <c r="JM63" s="4"/>
      <c r="JN63" s="10">
        <v>14970</v>
      </c>
      <c r="JO63" s="10"/>
      <c r="JP63" s="4"/>
      <c r="JQ63" s="4">
        <v>12948</v>
      </c>
      <c r="JR63" s="4">
        <v>8177</v>
      </c>
      <c r="JS63" s="4"/>
      <c r="JT63" s="4"/>
      <c r="JU63" s="10"/>
      <c r="JV63" s="4"/>
      <c r="JW63" s="4"/>
      <c r="JX63" s="4"/>
      <c r="JY63" s="4">
        <v>15664</v>
      </c>
      <c r="JZ63" s="4"/>
      <c r="KA63" s="4">
        <v>14849</v>
      </c>
      <c r="KB63" s="4"/>
      <c r="KC63" s="4">
        <v>15801</v>
      </c>
      <c r="KD63" s="10"/>
      <c r="KE63" s="10"/>
      <c r="KF63" s="10"/>
      <c r="KG63" s="4"/>
      <c r="KH63" s="10"/>
      <c r="KI63" s="10"/>
      <c r="KJ63" s="10"/>
      <c r="KK63" s="10"/>
      <c r="KL63" s="4">
        <v>12870</v>
      </c>
      <c r="KM63" s="10"/>
      <c r="KN63" s="4"/>
      <c r="KO63" s="4">
        <v>15628</v>
      </c>
      <c r="KP63" s="4">
        <v>16788</v>
      </c>
      <c r="KQ63" s="4"/>
      <c r="KR63" s="10"/>
      <c r="KS63" s="4"/>
      <c r="KT63" s="4"/>
      <c r="KU63" s="4"/>
      <c r="KV63" s="4"/>
      <c r="KW63" s="4"/>
      <c r="KX63" s="18">
        <v>43978</v>
      </c>
      <c r="KY63" s="4">
        <v>717.04</v>
      </c>
      <c r="KZ63" s="77">
        <f t="shared" si="23"/>
        <v>6.799330166611281E-2</v>
      </c>
      <c r="LA63" s="8">
        <f t="shared" ref="LA63:LA94" si="62">IF(A63="","",SUM(HG63:KW63))</f>
        <v>327812</v>
      </c>
      <c r="LB63" s="2"/>
      <c r="LC63" s="43"/>
      <c r="MO63" s="172"/>
      <c r="NO63" s="77"/>
      <c r="NP63" s="63"/>
      <c r="NQ63"/>
      <c r="NR63" s="77" t="e">
        <f t="shared" si="24"/>
        <v>#DIV/0!</v>
      </c>
      <c r="NS63" s="8">
        <f t="shared" si="42"/>
        <v>0</v>
      </c>
      <c r="NT63" s="2"/>
      <c r="NU63" s="7"/>
      <c r="NV63" s="4">
        <v>30146</v>
      </c>
      <c r="NW63" s="4"/>
      <c r="NX63" s="4"/>
      <c r="NY63" s="4"/>
      <c r="NZ63" s="4"/>
      <c r="OA63" s="4"/>
      <c r="OB63" s="4"/>
      <c r="OC63" s="4"/>
      <c r="OD63" s="4"/>
      <c r="OE63" s="77" t="e">
        <f t="shared" si="25"/>
        <v>#DIV/0!</v>
      </c>
      <c r="OF63" s="8">
        <f t="shared" si="43"/>
        <v>30146</v>
      </c>
      <c r="OG63" s="2"/>
      <c r="OI63" s="1">
        <v>33578</v>
      </c>
      <c r="OJ63" s="40"/>
      <c r="OK63" s="40"/>
      <c r="OL63" s="40"/>
      <c r="OM63" s="40"/>
      <c r="ON63" s="40"/>
      <c r="OO63" s="40"/>
      <c r="OQ63" s="40"/>
      <c r="OR63" s="77" t="e">
        <f t="shared" si="48"/>
        <v>#DIV/0!</v>
      </c>
      <c r="OS63" s="8">
        <f t="shared" si="49"/>
        <v>33578</v>
      </c>
      <c r="OT63" s="37"/>
      <c r="OU63" s="126">
        <f t="shared" si="50"/>
        <v>821920</v>
      </c>
      <c r="OV63" s="71">
        <f t="shared" si="44"/>
        <v>15.925864909390445</v>
      </c>
      <c r="OW63" s="139">
        <f>IF(A63="","",SUM(Z$17:Z63))</f>
        <v>20000</v>
      </c>
      <c r="OX63" s="139">
        <f t="shared" si="52"/>
        <v>808342</v>
      </c>
      <c r="OY63" s="132">
        <f t="shared" si="53"/>
        <v>0.13278371723779375</v>
      </c>
      <c r="OZ63" s="140">
        <f t="shared" si="34"/>
        <v>599625</v>
      </c>
      <c r="PA63" s="84">
        <f t="shared" si="47"/>
        <v>6.7841433227076031E-2</v>
      </c>
      <c r="PB63" s="130">
        <f>IF(A63="","",SUM(HB$17:HB63)+SUM(KY$17:KY63))</f>
        <v>111738.31</v>
      </c>
      <c r="PC63" s="131">
        <f t="shared" si="54"/>
        <v>711363.31</v>
      </c>
      <c r="PD63" s="132">
        <f t="shared" si="55"/>
        <v>7.6973040978258161E-2</v>
      </c>
      <c r="PE63" s="133"/>
      <c r="PF63" s="134"/>
      <c r="PG63" s="133"/>
      <c r="PH63" s="134"/>
      <c r="PI63" s="135">
        <f t="shared" si="56"/>
        <v>1421545</v>
      </c>
      <c r="PJ63" s="136">
        <f t="shared" si="10"/>
        <v>1.3300578603156912</v>
      </c>
      <c r="PK63" s="123"/>
      <c r="PL63" s="137">
        <f t="shared" si="57"/>
        <v>131738.31</v>
      </c>
      <c r="PM63" s="9">
        <f t="shared" si="58"/>
        <v>1519705.31</v>
      </c>
      <c r="PN63" s="138">
        <f t="shared" si="59"/>
        <v>0.10595608066312016</v>
      </c>
      <c r="PO63" s="86">
        <f>IF(PI63="","",MAX(PI$15:PI63))</f>
        <v>1539876</v>
      </c>
      <c r="PP63" s="113">
        <f t="shared" si="11"/>
        <v>-8.3241121455880751E-2</v>
      </c>
      <c r="PQ63" s="41" t="s">
        <v>356</v>
      </c>
      <c r="PR63" s="302"/>
    </row>
    <row r="64" spans="1:434" s="1" customFormat="1" ht="15" customHeight="1" x14ac:dyDescent="0.45">
      <c r="A64" s="18">
        <v>43984</v>
      </c>
      <c r="B64" s="29" t="s">
        <v>306</v>
      </c>
      <c r="C64" s="4">
        <v>2845</v>
      </c>
      <c r="D64" s="10"/>
      <c r="E64" s="10"/>
      <c r="F64" s="10"/>
      <c r="G64" s="4">
        <v>47666</v>
      </c>
      <c r="H64" s="4"/>
      <c r="I64" s="4">
        <v>23164</v>
      </c>
      <c r="J64" s="4">
        <v>12980</v>
      </c>
      <c r="K64" s="4"/>
      <c r="L64" s="4">
        <v>17313</v>
      </c>
      <c r="M64" s="4">
        <v>17566</v>
      </c>
      <c r="N64" s="4"/>
      <c r="O64" s="10"/>
      <c r="P64" s="4"/>
      <c r="Q64" s="4"/>
      <c r="R64" s="4"/>
      <c r="S64" s="4"/>
      <c r="T64" s="4">
        <v>19226</v>
      </c>
      <c r="U64" s="10"/>
      <c r="V64" s="10"/>
      <c r="W64" s="10"/>
      <c r="X64" s="4"/>
      <c r="Y64" s="18"/>
      <c r="Z64" s="4"/>
      <c r="AA64" s="77">
        <f t="shared" si="21"/>
        <v>6.6024446766937792E-2</v>
      </c>
      <c r="AB64" s="8">
        <f t="shared" si="60"/>
        <v>140760</v>
      </c>
      <c r="AC64" s="2"/>
      <c r="AD64" s="3" t="s">
        <v>357</v>
      </c>
      <c r="AE64" s="4">
        <v>97197</v>
      </c>
      <c r="AF64" s="4">
        <v>307952</v>
      </c>
      <c r="AG64" s="4"/>
      <c r="AH64" s="4">
        <v>19400</v>
      </c>
      <c r="AJ64" s="4"/>
      <c r="AK64" s="4"/>
      <c r="AL64" s="4"/>
      <c r="AM64" s="4"/>
      <c r="AO64" s="4"/>
      <c r="AP64" s="10"/>
      <c r="AQ64" s="4"/>
      <c r="AR64" s="4"/>
      <c r="AS64" s="4"/>
      <c r="AT64" s="4"/>
      <c r="AU64" s="4"/>
      <c r="AW64" s="4"/>
      <c r="AX64" s="4"/>
      <c r="AY64" s="4"/>
      <c r="AZ64" s="4"/>
      <c r="BA64" s="4"/>
      <c r="BB64" s="4"/>
      <c r="BC64" s="4"/>
      <c r="BD64" s="4"/>
      <c r="BE64" s="4">
        <v>17308</v>
      </c>
      <c r="BF64" s="4"/>
      <c r="BH64" s="4"/>
      <c r="BI64" s="4"/>
      <c r="BJ64" s="4"/>
      <c r="BK64" s="4"/>
      <c r="BL64" s="4"/>
      <c r="BM64" s="4"/>
      <c r="BN64" s="4">
        <v>16908</v>
      </c>
      <c r="BO64" s="4"/>
      <c r="BP64" s="4">
        <v>22386</v>
      </c>
      <c r="BQ64" s="4"/>
      <c r="BS64" s="10"/>
      <c r="BT64" s="4">
        <v>21575</v>
      </c>
      <c r="BU64" s="4">
        <v>19970</v>
      </c>
      <c r="BV64" s="4"/>
      <c r="BW64" s="4"/>
      <c r="CA64" s="4"/>
      <c r="CB64" s="4">
        <v>38040</v>
      </c>
      <c r="CC64" s="4">
        <v>17552</v>
      </c>
      <c r="CD64" s="4"/>
      <c r="CE64" s="4"/>
      <c r="CF64" s="4"/>
      <c r="CG64" s="4"/>
      <c r="CH64" s="4"/>
      <c r="CI64" s="4"/>
      <c r="CJ64" s="10"/>
      <c r="CK64" s="4"/>
      <c r="CL64" s="10"/>
      <c r="CN64" s="4"/>
      <c r="CO64" s="10"/>
      <c r="CP64" s="4"/>
      <c r="CQ64" s="4">
        <v>13976</v>
      </c>
      <c r="CR64" s="10"/>
      <c r="CS64" s="4"/>
      <c r="CT64" s="4"/>
      <c r="CU64" s="4">
        <v>16399</v>
      </c>
      <c r="CV64" s="4"/>
      <c r="CW64" s="4">
        <v>28715</v>
      </c>
      <c r="CX64" s="4"/>
      <c r="CY64" s="77">
        <f t="shared" si="46"/>
        <v>1.7925302721055844E-2</v>
      </c>
      <c r="CZ64" s="8">
        <f t="shared" si="61"/>
        <v>637378</v>
      </c>
      <c r="DA64" s="2"/>
      <c r="DH64" s="4"/>
      <c r="DJ64" s="4"/>
      <c r="DX64" s="2"/>
      <c r="DY64" s="32"/>
      <c r="DZ64" s="4">
        <v>30146</v>
      </c>
      <c r="EA64" s="32"/>
      <c r="EB64" s="32"/>
      <c r="EC64" s="32"/>
      <c r="ED64" s="32"/>
      <c r="EE64" s="4"/>
      <c r="EF64" s="4"/>
      <c r="EG64" s="32"/>
      <c r="EH64" s="32"/>
      <c r="EI64" s="32"/>
      <c r="EJ64" s="32"/>
      <c r="EK64" s="5"/>
      <c r="EO64" s="2"/>
      <c r="EQ64" s="468" t="s">
        <v>1</v>
      </c>
      <c r="ER64"/>
      <c r="ES64" s="6" t="s">
        <v>358</v>
      </c>
      <c r="ET64" s="10"/>
      <c r="EU64" s="10"/>
      <c r="EV64" s="10"/>
      <c r="EW64" s="10"/>
      <c r="EX64" s="4">
        <v>3310</v>
      </c>
      <c r="EY64" s="4"/>
      <c r="EZ64" s="4"/>
      <c r="FA64" s="4"/>
      <c r="FB64" s="4"/>
      <c r="FC64" s="4">
        <v>19779</v>
      </c>
      <c r="FD64" s="4">
        <v>18398</v>
      </c>
      <c r="FE64" s="4">
        <v>17794</v>
      </c>
      <c r="FF64" s="4">
        <v>16461</v>
      </c>
      <c r="FG64" s="4">
        <v>12284</v>
      </c>
      <c r="FH64" s="10"/>
      <c r="FI64" s="10"/>
      <c r="FJ64" s="10"/>
      <c r="FK64" s="10"/>
      <c r="FL64" s="10"/>
      <c r="FM64" s="10"/>
      <c r="FN64" s="4"/>
      <c r="FO64" s="4"/>
      <c r="FP64" s="10"/>
      <c r="FQ64" s="4"/>
      <c r="FR64" s="4"/>
      <c r="FS64" s="10"/>
      <c r="FT64" s="4">
        <v>23164</v>
      </c>
      <c r="FU64" s="4">
        <v>12980</v>
      </c>
      <c r="FV64" s="4">
        <v>17995</v>
      </c>
      <c r="FW64" s="4"/>
      <c r="FX64" s="4"/>
      <c r="FY64" s="4">
        <v>17313</v>
      </c>
      <c r="FZ64" s="10"/>
      <c r="GA64" s="10"/>
      <c r="GB64" s="10"/>
      <c r="GC64" s="10">
        <v>15864</v>
      </c>
      <c r="GD64" s="4">
        <v>17566</v>
      </c>
      <c r="GE64" s="4">
        <v>16143</v>
      </c>
      <c r="GF64" s="4"/>
      <c r="GG64" s="4"/>
      <c r="GH64" s="4"/>
      <c r="GI64" s="4"/>
      <c r="GJ64" s="4"/>
      <c r="GK64" s="4">
        <v>18206</v>
      </c>
      <c r="GL64" s="4"/>
      <c r="GM64" s="4"/>
      <c r="GN64" s="10"/>
      <c r="GO64" s="10"/>
      <c r="GP64" s="4"/>
      <c r="GQ64" s="10">
        <v>18378</v>
      </c>
      <c r="GR64" s="4"/>
      <c r="GS64" s="10"/>
      <c r="GT64" s="4"/>
      <c r="GU64" s="10">
        <v>13638</v>
      </c>
      <c r="GV64" s="4">
        <v>19226</v>
      </c>
      <c r="GW64" s="10"/>
      <c r="GX64" s="10"/>
      <c r="GY64" s="10">
        <v>18800</v>
      </c>
      <c r="GZ64" s="10"/>
      <c r="HA64" s="18">
        <v>43978</v>
      </c>
      <c r="HB64" s="4">
        <v>599.35</v>
      </c>
      <c r="HC64" s="77">
        <f t="shared" si="22"/>
        <v>9.3762991468399226E-2</v>
      </c>
      <c r="HD64" s="8">
        <f t="shared" si="51"/>
        <v>297299</v>
      </c>
      <c r="HE64" s="2"/>
      <c r="HF64" s="3"/>
      <c r="HG64" s="4">
        <v>10527</v>
      </c>
      <c r="HH64" s="4">
        <v>19400</v>
      </c>
      <c r="HI64" s="4"/>
      <c r="HJ64" s="4"/>
      <c r="HK64" s="4"/>
      <c r="HL64" s="4"/>
      <c r="HM64" s="4"/>
      <c r="HN64" s="4"/>
      <c r="HO64" s="4"/>
      <c r="HP64" s="4">
        <v>14921</v>
      </c>
      <c r="HQ64" s="4"/>
      <c r="HR64" s="4"/>
      <c r="HS64" s="4"/>
      <c r="HT64" s="10"/>
      <c r="HU64" s="10"/>
      <c r="HV64" s="4"/>
      <c r="HW64" s="4"/>
      <c r="HX64" s="4"/>
      <c r="HY64" s="4"/>
      <c r="HZ64" s="4"/>
      <c r="IA64" s="4">
        <v>15990</v>
      </c>
      <c r="IB64" s="4"/>
      <c r="IC64" s="4">
        <v>21456</v>
      </c>
      <c r="ID64" s="10"/>
      <c r="IE64" s="4">
        <v>17130</v>
      </c>
      <c r="IF64" s="10"/>
      <c r="IG64" s="4"/>
      <c r="IH64" s="4">
        <v>19781</v>
      </c>
      <c r="II64" s="4"/>
      <c r="IJ64" s="4"/>
      <c r="IK64" s="4"/>
      <c r="IL64" s="4"/>
      <c r="IM64" s="4">
        <v>17308</v>
      </c>
      <c r="IN64" s="4"/>
      <c r="IO64" s="4"/>
      <c r="IP64" s="4"/>
      <c r="IQ64" s="4"/>
      <c r="IR64" s="4"/>
      <c r="IS64" s="4">
        <v>16908</v>
      </c>
      <c r="IT64" s="10"/>
      <c r="IU64" s="4">
        <v>12368</v>
      </c>
      <c r="IV64" s="4"/>
      <c r="IW64" s="4">
        <v>16308</v>
      </c>
      <c r="IX64" s="10"/>
      <c r="IY64" s="4"/>
      <c r="IZ64" s="4">
        <v>15243</v>
      </c>
      <c r="JA64" s="4"/>
      <c r="JB64" s="4"/>
      <c r="JC64" s="4">
        <v>15591</v>
      </c>
      <c r="JD64" s="4"/>
      <c r="JE64" s="4"/>
      <c r="JF64" s="10"/>
      <c r="JG64" s="10"/>
      <c r="JH64" s="10"/>
      <c r="JI64" s="4"/>
      <c r="JJ64" s="4"/>
      <c r="JK64" s="4"/>
      <c r="JL64" s="4"/>
      <c r="JM64" s="4"/>
      <c r="JN64" s="10">
        <v>17630</v>
      </c>
      <c r="JO64" s="10"/>
      <c r="JP64" s="4"/>
      <c r="JQ64" s="4">
        <v>13320</v>
      </c>
      <c r="JR64" s="4">
        <v>8264</v>
      </c>
      <c r="JS64" s="4"/>
      <c r="JT64" s="4"/>
      <c r="JU64" s="10"/>
      <c r="JV64" s="4"/>
      <c r="JW64" s="4"/>
      <c r="JX64" s="4"/>
      <c r="JY64" s="4">
        <v>17094</v>
      </c>
      <c r="JZ64" s="4"/>
      <c r="KA64" s="4">
        <v>15564</v>
      </c>
      <c r="KB64" s="4"/>
      <c r="KC64" s="4">
        <v>17672</v>
      </c>
      <c r="KD64" s="10"/>
      <c r="KE64" s="10"/>
      <c r="KF64" s="10"/>
      <c r="KG64" s="4"/>
      <c r="KH64" s="10"/>
      <c r="KI64" s="10"/>
      <c r="KJ64" s="10"/>
      <c r="KK64" s="10"/>
      <c r="KL64" s="4">
        <v>13976</v>
      </c>
      <c r="KM64" s="10"/>
      <c r="KN64" s="4"/>
      <c r="KO64" s="4">
        <v>15510</v>
      </c>
      <c r="KP64" s="4">
        <v>16399</v>
      </c>
      <c r="KQ64" s="4"/>
      <c r="KR64" s="10"/>
      <c r="KS64" s="4"/>
      <c r="KT64" s="4"/>
      <c r="KU64" s="4"/>
      <c r="KV64" s="4"/>
      <c r="KW64" s="4"/>
      <c r="KX64" s="18"/>
      <c r="KY64" s="4"/>
      <c r="KZ64" s="77">
        <f t="shared" si="23"/>
        <v>6.2682269105462887E-2</v>
      </c>
      <c r="LA64" s="8">
        <f t="shared" si="62"/>
        <v>348360</v>
      </c>
      <c r="LB64" s="2"/>
      <c r="LC64" s="43"/>
      <c r="MO64" s="172"/>
      <c r="NO64" s="77"/>
      <c r="NP64" s="63"/>
      <c r="NQ64"/>
      <c r="NR64" s="77" t="e">
        <f t="shared" si="24"/>
        <v>#DIV/0!</v>
      </c>
      <c r="NS64" s="8">
        <f t="shared" si="42"/>
        <v>0</v>
      </c>
      <c r="NT64" s="2"/>
      <c r="NU64" s="40" t="s">
        <v>306</v>
      </c>
      <c r="NV64" s="4">
        <v>30146</v>
      </c>
      <c r="NW64" s="4"/>
      <c r="NX64" s="4"/>
      <c r="NY64" s="4"/>
      <c r="NZ64" s="4"/>
      <c r="OA64" s="4"/>
      <c r="OB64" s="4"/>
      <c r="OC64" s="4"/>
      <c r="OD64" s="4"/>
      <c r="OE64" s="77">
        <f t="shared" si="25"/>
        <v>0</v>
      </c>
      <c r="OF64" s="8">
        <f t="shared" si="43"/>
        <v>30146</v>
      </c>
      <c r="OG64" s="2"/>
      <c r="OI64" s="1">
        <v>33578</v>
      </c>
      <c r="OJ64" s="40"/>
      <c r="OK64" s="40"/>
      <c r="OL64" s="40"/>
      <c r="OM64" s="40"/>
      <c r="ON64" s="40"/>
      <c r="OO64" s="40"/>
      <c r="OQ64" s="40"/>
      <c r="OR64" s="77">
        <f t="shared" si="48"/>
        <v>0</v>
      </c>
      <c r="OS64" s="8">
        <f t="shared" si="49"/>
        <v>33578</v>
      </c>
      <c r="OT64" s="37"/>
      <c r="OU64" s="126">
        <f t="shared" si="50"/>
        <v>841862</v>
      </c>
      <c r="OV64" s="71">
        <f t="shared" si="44"/>
        <v>2.4262701966128092E-2</v>
      </c>
      <c r="OW64" s="139">
        <f>IF(A64="","",SUM(Z$17:Z64))</f>
        <v>20000</v>
      </c>
      <c r="OX64" s="139">
        <f t="shared" si="52"/>
        <v>828284</v>
      </c>
      <c r="OY64" s="132">
        <f t="shared" si="53"/>
        <v>0.16072977582333808</v>
      </c>
      <c r="OZ64" s="140">
        <f t="shared" si="34"/>
        <v>645659</v>
      </c>
      <c r="PA64" s="84">
        <f t="shared" si="47"/>
        <v>7.677131540546174E-2</v>
      </c>
      <c r="PB64" s="130">
        <f>IF(A64="","",SUM(HB$17:HB64)+SUM(KY$17:KY64))</f>
        <v>112337.66</v>
      </c>
      <c r="PC64" s="131">
        <f t="shared" si="54"/>
        <v>757996.66</v>
      </c>
      <c r="PD64" s="132">
        <f t="shared" si="55"/>
        <v>0.14757389999712353</v>
      </c>
      <c r="PE64" s="133"/>
      <c r="PF64" s="134"/>
      <c r="PG64" s="133"/>
      <c r="PH64" s="134"/>
      <c r="PI64" s="135">
        <f t="shared" si="56"/>
        <v>1487521</v>
      </c>
      <c r="PJ64" s="136">
        <f t="shared" si="10"/>
        <v>4.6411474838995596E-2</v>
      </c>
      <c r="PK64" s="123"/>
      <c r="PL64" s="137">
        <f t="shared" si="57"/>
        <v>132337.66</v>
      </c>
      <c r="PM64" s="9">
        <f t="shared" si="58"/>
        <v>1586280.6600000001</v>
      </c>
      <c r="PN64" s="138">
        <f t="shared" si="59"/>
        <v>0.15440587725873486</v>
      </c>
      <c r="PO64" s="86">
        <f>IF(PI64="","",MAX(PI$15:PI64))</f>
        <v>1539876</v>
      </c>
      <c r="PP64" s="113">
        <f t="shared" si="11"/>
        <v>-3.5196141768754859E-2</v>
      </c>
      <c r="PQ64" s="41"/>
      <c r="PR64" s="302"/>
    </row>
    <row r="65" spans="1:434" s="1" customFormat="1" ht="15" customHeight="1" x14ac:dyDescent="0.45">
      <c r="A65" s="18">
        <v>43998</v>
      </c>
      <c r="B65" s="3"/>
      <c r="C65" s="4"/>
      <c r="D65" s="10"/>
      <c r="E65" s="10"/>
      <c r="F65" s="10"/>
      <c r="G65" s="4"/>
      <c r="H65" s="4"/>
      <c r="I65" s="4"/>
      <c r="J65" s="4"/>
      <c r="K65" s="4"/>
      <c r="L65" s="4"/>
      <c r="M65" s="4"/>
      <c r="N65" s="4"/>
      <c r="O65" s="10"/>
      <c r="P65" s="4"/>
      <c r="Q65" s="4"/>
      <c r="R65" s="4"/>
      <c r="S65" s="4"/>
      <c r="T65" s="4"/>
      <c r="U65" s="10"/>
      <c r="V65" s="10"/>
      <c r="W65" s="10"/>
      <c r="X65" s="4"/>
      <c r="Y65" s="18" t="str">
        <f t="shared" ref="Y65:Y70" si="63">IF(HA65="","",HA65)</f>
        <v/>
      </c>
      <c r="Z65" s="4"/>
      <c r="AA65" s="77">
        <f t="shared" si="21"/>
        <v>-1</v>
      </c>
      <c r="AB65" s="8">
        <f t="shared" si="60"/>
        <v>0</v>
      </c>
      <c r="AC65" s="2"/>
      <c r="AD65" s="3"/>
      <c r="AE65" s="4"/>
      <c r="AF65" s="4"/>
      <c r="AG65" s="4"/>
      <c r="AH65" s="4"/>
      <c r="AJ65" s="4"/>
      <c r="AK65" s="4"/>
      <c r="AL65" s="4"/>
      <c r="AM65" s="4"/>
      <c r="AO65" s="4"/>
      <c r="AP65" s="10"/>
      <c r="AQ65" s="4"/>
      <c r="AR65" s="4"/>
      <c r="AS65" s="4"/>
      <c r="AT65" s="4"/>
      <c r="AU65" s="4"/>
      <c r="AW65" s="4"/>
      <c r="AX65" s="4"/>
      <c r="AY65" s="4"/>
      <c r="AZ65" s="4"/>
      <c r="BA65" s="4"/>
      <c r="BB65" s="4"/>
      <c r="BC65" s="4"/>
      <c r="BD65" s="4"/>
      <c r="BE65" s="4"/>
      <c r="BF65" s="4"/>
      <c r="BH65" s="4"/>
      <c r="BI65" s="4"/>
      <c r="BJ65" s="4"/>
      <c r="BK65" s="4"/>
      <c r="BL65" s="4"/>
      <c r="BM65" s="4"/>
      <c r="BN65" s="4"/>
      <c r="BO65" s="4"/>
      <c r="BP65" s="4"/>
      <c r="BQ65" s="4"/>
      <c r="BS65" s="10"/>
      <c r="BT65" s="4"/>
      <c r="BU65" s="4"/>
      <c r="BV65" s="4"/>
      <c r="BW65" s="4"/>
      <c r="CA65" s="4"/>
      <c r="CB65" s="4"/>
      <c r="CC65" s="4"/>
      <c r="CD65" s="4"/>
      <c r="CE65" s="4"/>
      <c r="CF65" s="4"/>
      <c r="CG65" s="4"/>
      <c r="CH65" s="4"/>
      <c r="CI65" s="4"/>
      <c r="CJ65" s="10"/>
      <c r="CK65" s="4"/>
      <c r="CL65" s="10"/>
      <c r="CN65" s="4"/>
      <c r="CO65" s="10"/>
      <c r="CP65" s="4"/>
      <c r="CQ65" s="4"/>
      <c r="CR65" s="10"/>
      <c r="CS65" s="4"/>
      <c r="CT65" s="4"/>
      <c r="CU65" s="4"/>
      <c r="CV65" s="4"/>
      <c r="CW65" s="4"/>
      <c r="CX65" s="4"/>
      <c r="CY65" s="77">
        <f t="shared" si="46"/>
        <v>-1</v>
      </c>
      <c r="CZ65" s="8">
        <f t="shared" si="61"/>
        <v>0</v>
      </c>
      <c r="DA65" s="2"/>
      <c r="DH65" s="4"/>
      <c r="DJ65" s="4"/>
      <c r="DX65" s="2"/>
      <c r="DY65" s="32"/>
      <c r="DZ65" s="4"/>
      <c r="EA65" s="32"/>
      <c r="EB65" s="32"/>
      <c r="EC65" s="32"/>
      <c r="ED65" s="32"/>
      <c r="EE65" s="4"/>
      <c r="EF65" s="4"/>
      <c r="EG65" s="32"/>
      <c r="EH65" s="32"/>
      <c r="EI65" s="32"/>
      <c r="EJ65" s="32"/>
      <c r="EK65" s="5"/>
      <c r="EO65" s="2"/>
      <c r="EQ65" s="468" t="s">
        <v>1</v>
      </c>
      <c r="ER65"/>
      <c r="ES65" s="6"/>
      <c r="ET65" s="10"/>
      <c r="EU65" s="10"/>
      <c r="EV65" s="10"/>
      <c r="EW65" s="10"/>
      <c r="EX65" s="4"/>
      <c r="EY65" s="4"/>
      <c r="EZ65" s="4"/>
      <c r="FA65" s="4"/>
      <c r="FB65" s="4"/>
      <c r="FC65" s="4"/>
      <c r="FD65" s="4"/>
      <c r="FE65" s="4"/>
      <c r="FF65" s="4"/>
      <c r="FG65" s="4"/>
      <c r="FH65" s="10"/>
      <c r="FI65" s="10"/>
      <c r="FJ65" s="10"/>
      <c r="FK65" s="10"/>
      <c r="FL65" s="10"/>
      <c r="FM65" s="10"/>
      <c r="FN65" s="4"/>
      <c r="FO65" s="4"/>
      <c r="FP65" s="10"/>
      <c r="FQ65" s="4"/>
      <c r="FR65" s="4"/>
      <c r="FS65" s="10"/>
      <c r="FT65" s="4"/>
      <c r="FU65" s="4"/>
      <c r="FV65" s="4"/>
      <c r="FW65" s="4"/>
      <c r="FX65" s="4"/>
      <c r="FY65" s="4"/>
      <c r="FZ65" s="10"/>
      <c r="GA65" s="10"/>
      <c r="GB65" s="10"/>
      <c r="GC65" s="10"/>
      <c r="GD65" s="4"/>
      <c r="GE65" s="4"/>
      <c r="GF65" s="4"/>
      <c r="GG65" s="4"/>
      <c r="GH65" s="4"/>
      <c r="GI65" s="4"/>
      <c r="GJ65" s="4"/>
      <c r="GK65" s="4"/>
      <c r="GL65" s="4"/>
      <c r="GM65" s="4"/>
      <c r="GN65" s="10"/>
      <c r="GO65" s="10"/>
      <c r="GP65" s="4"/>
      <c r="GQ65" s="10"/>
      <c r="GR65" s="4"/>
      <c r="GS65" s="10"/>
      <c r="GT65" s="4"/>
      <c r="GU65" s="10"/>
      <c r="GV65" s="4"/>
      <c r="GW65" s="10"/>
      <c r="GX65" s="10"/>
      <c r="GY65" s="10"/>
      <c r="GZ65" s="10"/>
      <c r="HA65" s="18"/>
      <c r="HB65" s="4"/>
      <c r="HC65" s="77">
        <f t="shared" si="22"/>
        <v>-1</v>
      </c>
      <c r="HD65" s="8">
        <f t="shared" si="51"/>
        <v>0</v>
      </c>
      <c r="HE65" s="2"/>
      <c r="HF65" s="3" t="s">
        <v>359</v>
      </c>
      <c r="HG65" s="4"/>
      <c r="HH65" s="4"/>
      <c r="HI65" s="4"/>
      <c r="HJ65" s="4"/>
      <c r="HK65" s="4"/>
      <c r="HL65" s="4"/>
      <c r="HM65" s="4"/>
      <c r="HN65" s="4"/>
      <c r="HO65" s="4"/>
      <c r="HP65" s="4"/>
      <c r="HQ65" s="4"/>
      <c r="HR65" s="4"/>
      <c r="HS65" s="4"/>
      <c r="HT65" s="10"/>
      <c r="HU65" s="10"/>
      <c r="HV65" s="4"/>
      <c r="HW65" s="4"/>
      <c r="HX65" s="4"/>
      <c r="HY65" s="4"/>
      <c r="HZ65" s="4"/>
      <c r="IA65" s="4"/>
      <c r="IB65" s="4"/>
      <c r="IC65" s="4"/>
      <c r="ID65" s="10"/>
      <c r="IE65" s="4"/>
      <c r="IF65" s="10"/>
      <c r="IG65" s="4"/>
      <c r="IH65" s="4"/>
      <c r="II65" s="4"/>
      <c r="IJ65" s="4"/>
      <c r="IK65" s="4"/>
      <c r="IL65" s="4"/>
      <c r="IM65" s="4"/>
      <c r="IN65" s="4"/>
      <c r="IO65" s="4"/>
      <c r="IP65" s="4"/>
      <c r="IQ65" s="4"/>
      <c r="IR65" s="4"/>
      <c r="IS65" s="4"/>
      <c r="IT65" s="10"/>
      <c r="IU65" s="4"/>
      <c r="IV65" s="4"/>
      <c r="IW65" s="4"/>
      <c r="IX65" s="10"/>
      <c r="IY65" s="4"/>
      <c r="IZ65" s="4"/>
      <c r="JA65" s="4"/>
      <c r="JB65" s="4"/>
      <c r="JC65" s="4"/>
      <c r="JD65" s="4"/>
      <c r="JE65" s="4"/>
      <c r="JF65" s="10"/>
      <c r="JG65" s="10"/>
      <c r="JH65" s="10"/>
      <c r="JI65" s="4"/>
      <c r="JJ65" s="4"/>
      <c r="JK65" s="4"/>
      <c r="JL65" s="4"/>
      <c r="JM65" s="4"/>
      <c r="JN65" s="10"/>
      <c r="JO65" s="10"/>
      <c r="JP65" s="4"/>
      <c r="JQ65" s="4"/>
      <c r="JR65" s="4"/>
      <c r="JS65" s="4"/>
      <c r="JT65" s="4"/>
      <c r="JU65" s="10"/>
      <c r="JV65" s="4"/>
      <c r="JW65" s="4"/>
      <c r="JX65" s="4"/>
      <c r="JY65" s="4"/>
      <c r="JZ65" s="4"/>
      <c r="KA65" s="4"/>
      <c r="KB65" s="4"/>
      <c r="KC65" s="4"/>
      <c r="KD65" s="10"/>
      <c r="KE65" s="10"/>
      <c r="KF65" s="10"/>
      <c r="KG65" s="4"/>
      <c r="KH65" s="10"/>
      <c r="KI65" s="10"/>
      <c r="KJ65" s="10"/>
      <c r="KK65" s="10"/>
      <c r="KL65" s="4"/>
      <c r="KM65" s="10"/>
      <c r="KN65" s="4"/>
      <c r="KO65" s="4"/>
      <c r="KP65" s="4"/>
      <c r="KQ65" s="4"/>
      <c r="KR65" s="10"/>
      <c r="KS65" s="4"/>
      <c r="KT65" s="4"/>
      <c r="KU65" s="4"/>
      <c r="KV65" s="4"/>
      <c r="KW65" s="4"/>
      <c r="KX65" s="18"/>
      <c r="KY65" s="4"/>
      <c r="KZ65" s="77">
        <f t="shared" si="23"/>
        <v>-1</v>
      </c>
      <c r="LA65" s="8">
        <f t="shared" si="62"/>
        <v>0</v>
      </c>
      <c r="LB65" s="2"/>
      <c r="LC65" s="43"/>
      <c r="MO65" s="172"/>
      <c r="NO65" s="77"/>
      <c r="NP65" s="63"/>
      <c r="NQ65"/>
      <c r="NR65" s="77" t="e">
        <f t="shared" si="24"/>
        <v>#DIV/0!</v>
      </c>
      <c r="NS65" s="8">
        <f t="shared" si="42"/>
        <v>0</v>
      </c>
      <c r="NT65" s="2"/>
      <c r="NU65" s="7"/>
      <c r="NV65" s="4"/>
      <c r="NW65" s="4"/>
      <c r="NX65" s="4"/>
      <c r="NY65" s="4"/>
      <c r="NZ65" s="4"/>
      <c r="OA65" s="4"/>
      <c r="OB65" s="4"/>
      <c r="OC65" s="4"/>
      <c r="OD65" s="4"/>
      <c r="OE65" s="77">
        <f t="shared" si="25"/>
        <v>-1</v>
      </c>
      <c r="OF65" s="8">
        <f t="shared" si="43"/>
        <v>0</v>
      </c>
      <c r="OG65" s="2"/>
      <c r="OJ65" s="40"/>
      <c r="OK65" s="40"/>
      <c r="OL65" s="40"/>
      <c r="OM65" s="40"/>
      <c r="ON65" s="40"/>
      <c r="OO65" s="40"/>
      <c r="OQ65" s="40"/>
      <c r="OR65" s="77">
        <f t="shared" si="48"/>
        <v>-1</v>
      </c>
      <c r="OS65" s="8">
        <f t="shared" si="49"/>
        <v>0</v>
      </c>
      <c r="OT65" s="37"/>
      <c r="OU65" s="126">
        <f t="shared" si="50"/>
        <v>0</v>
      </c>
      <c r="OV65" s="71">
        <f t="shared" si="44"/>
        <v>-1</v>
      </c>
      <c r="OW65" s="139">
        <f>IF(A65="","",SUM(Z$17:Z65))</f>
        <v>20000</v>
      </c>
      <c r="OX65" s="139">
        <f t="shared" si="52"/>
        <v>20000</v>
      </c>
      <c r="OY65" s="132">
        <f t="shared" si="53"/>
        <v>-0.97197266213464617</v>
      </c>
      <c r="OZ65" s="140">
        <f t="shared" si="34"/>
        <v>0</v>
      </c>
      <c r="PA65" s="84">
        <f t="shared" si="47"/>
        <v>-1</v>
      </c>
      <c r="PB65" s="130">
        <f>IF(A65="","",SUM(HB$17:HB65)+SUM(KY$17:KY65))</f>
        <v>112337.66</v>
      </c>
      <c r="PC65" s="131">
        <f t="shared" si="54"/>
        <v>112337.66</v>
      </c>
      <c r="PD65" s="132">
        <f t="shared" si="55"/>
        <v>-0.82992567987997345</v>
      </c>
      <c r="PE65" s="133"/>
      <c r="PF65" s="134"/>
      <c r="PG65" s="133"/>
      <c r="PH65" s="134"/>
      <c r="PI65" s="135">
        <f t="shared" si="56"/>
        <v>0</v>
      </c>
      <c r="PJ65" s="136">
        <f t="shared" si="10"/>
        <v>-1</v>
      </c>
      <c r="PK65" s="123"/>
      <c r="PL65" s="137">
        <f t="shared" si="57"/>
        <v>132337.66</v>
      </c>
      <c r="PM65" s="9">
        <f t="shared" si="58"/>
        <v>132337.66</v>
      </c>
      <c r="PN65" s="138">
        <f t="shared" si="59"/>
        <v>-0.90369209160838659</v>
      </c>
      <c r="PO65" s="86">
        <f>IF(PI65="","",MAX(PI$15:PI65))</f>
        <v>1539876</v>
      </c>
      <c r="PP65" s="113" t="e">
        <f t="shared" si="11"/>
        <v>#DIV/0!</v>
      </c>
      <c r="PQ65" s="41"/>
      <c r="PR65" s="302"/>
    </row>
    <row r="66" spans="1:434" s="1" customFormat="1" ht="15" customHeight="1" x14ac:dyDescent="0.45">
      <c r="A66" s="18">
        <v>44013</v>
      </c>
      <c r="B66" s="29" t="s">
        <v>306</v>
      </c>
      <c r="C66" s="4">
        <v>2945.82</v>
      </c>
      <c r="D66" s="10"/>
      <c r="E66" s="10"/>
      <c r="F66" s="10"/>
      <c r="G66" s="4">
        <v>48217.89</v>
      </c>
      <c r="H66" s="4"/>
      <c r="I66" s="4"/>
      <c r="J66" s="4"/>
      <c r="K66" s="4"/>
      <c r="L66" s="4"/>
      <c r="M66" s="4"/>
      <c r="N66" s="4"/>
      <c r="O66" s="10"/>
      <c r="P66" s="4"/>
      <c r="Q66" s="4"/>
      <c r="R66" s="4"/>
      <c r="S66" s="4"/>
      <c r="T66" s="4"/>
      <c r="U66" s="10"/>
      <c r="V66" s="10"/>
      <c r="W66" s="10"/>
      <c r="X66" s="4"/>
      <c r="Y66" s="18" t="str">
        <f t="shared" si="63"/>
        <v/>
      </c>
      <c r="Z66" s="4"/>
      <c r="AA66" s="77" t="e">
        <f t="shared" si="21"/>
        <v>#DIV/0!</v>
      </c>
      <c r="AB66" s="8">
        <f t="shared" si="60"/>
        <v>51163.71</v>
      </c>
      <c r="AC66" s="2"/>
      <c r="AD66" s="3" t="s">
        <v>360</v>
      </c>
      <c r="AE66" s="4">
        <f>97197.36+215059.62</f>
        <v>312256.98</v>
      </c>
      <c r="AF66" s="4">
        <f>27476.5+33229.8+25584.25+25176.25+25827+25469.25+33286.5+25676+33016.2+27733+27215.5</f>
        <v>309690.25</v>
      </c>
      <c r="AG66" s="4"/>
      <c r="AH66" s="4"/>
      <c r="AJ66" s="4"/>
      <c r="AK66" s="4"/>
      <c r="AL66" s="4"/>
      <c r="AM66" s="4"/>
      <c r="AO66" s="4"/>
      <c r="AP66" s="10"/>
      <c r="AQ66" s="4"/>
      <c r="AR66" s="4"/>
      <c r="AS66" s="4"/>
      <c r="AT66" s="4"/>
      <c r="AU66" s="4"/>
      <c r="AW66" s="4"/>
      <c r="AX66" s="4"/>
      <c r="AY66" s="4"/>
      <c r="AZ66" s="4"/>
      <c r="BA66" s="4"/>
      <c r="BB66" s="4"/>
      <c r="BC66" s="4"/>
      <c r="BD66" s="4"/>
      <c r="BE66" s="4"/>
      <c r="BF66" s="4"/>
      <c r="BH66" s="4"/>
      <c r="BI66" s="4"/>
      <c r="BJ66" s="4"/>
      <c r="BK66" s="4"/>
      <c r="BL66" s="4"/>
      <c r="BM66" s="4"/>
      <c r="BN66" s="4"/>
      <c r="BO66" s="4"/>
      <c r="BP66" s="4"/>
      <c r="BQ66" s="4"/>
      <c r="BS66" s="10"/>
      <c r="BT66" s="4"/>
      <c r="BU66" s="4"/>
      <c r="BV66" s="4"/>
      <c r="BW66" s="4"/>
      <c r="CA66" s="4"/>
      <c r="CB66" s="4"/>
      <c r="CC66" s="4">
        <v>17753.88</v>
      </c>
      <c r="CD66" s="4"/>
      <c r="CE66" s="4"/>
      <c r="CF66" s="4"/>
      <c r="CG66" s="4"/>
      <c r="CH66" s="4"/>
      <c r="CI66" s="4"/>
      <c r="CJ66" s="10"/>
      <c r="CK66" s="4"/>
      <c r="CL66" s="10"/>
      <c r="CN66" s="4"/>
      <c r="CO66" s="10"/>
      <c r="CP66" s="4"/>
      <c r="CQ66" s="4"/>
      <c r="CR66" s="10"/>
      <c r="CS66" s="4"/>
      <c r="CT66" s="4"/>
      <c r="CU66" s="4"/>
      <c r="CV66" s="4"/>
      <c r="CW66" s="4"/>
      <c r="CX66" s="4"/>
      <c r="CY66" s="77" t="e">
        <f t="shared" si="46"/>
        <v>#DIV/0!</v>
      </c>
      <c r="CZ66" s="8">
        <f t="shared" si="61"/>
        <v>639701.11</v>
      </c>
      <c r="DA66" s="2"/>
      <c r="DH66" s="4"/>
      <c r="DJ66" s="4"/>
      <c r="DX66" s="2"/>
      <c r="DY66" s="32"/>
      <c r="DZ66" s="4">
        <v>30146.639999999999</v>
      </c>
      <c r="EA66" s="32"/>
      <c r="EB66" s="32"/>
      <c r="EC66" s="32"/>
      <c r="ED66" s="32"/>
      <c r="EE66" s="4"/>
      <c r="EF66" s="4"/>
      <c r="EG66" s="32"/>
      <c r="EH66" s="32"/>
      <c r="EI66" s="32"/>
      <c r="EJ66" s="32"/>
      <c r="EK66" s="5"/>
      <c r="EO66" s="2"/>
      <c r="EQ66" s="468" t="s">
        <v>1</v>
      </c>
      <c r="ER66"/>
      <c r="ES66" s="3" t="s">
        <v>360</v>
      </c>
      <c r="ET66" s="10"/>
      <c r="EU66" s="10"/>
      <c r="EV66" s="10"/>
      <c r="EW66" s="10"/>
      <c r="EX66" s="4">
        <f>4896.83+291375.78</f>
        <v>296272.61000000004</v>
      </c>
      <c r="EY66" s="4"/>
      <c r="EZ66" s="4"/>
      <c r="FA66" s="4"/>
      <c r="FB66" s="4"/>
      <c r="FC66" s="4"/>
      <c r="FD66" s="4"/>
      <c r="FE66" s="4"/>
      <c r="FF66" s="4"/>
      <c r="FG66" s="4"/>
      <c r="FH66" s="10"/>
      <c r="FI66" s="10"/>
      <c r="FJ66" s="10"/>
      <c r="FK66" s="10"/>
      <c r="FL66" s="10"/>
      <c r="FM66" s="10"/>
      <c r="FN66" s="4"/>
      <c r="FO66" s="4"/>
      <c r="FP66" s="10"/>
      <c r="FQ66" s="4"/>
      <c r="FR66" s="4"/>
      <c r="FS66" s="10"/>
      <c r="FT66" s="4"/>
      <c r="FU66" s="4"/>
      <c r="FV66" s="4"/>
      <c r="FW66" s="4"/>
      <c r="FX66" s="4"/>
      <c r="FY66" s="4"/>
      <c r="FZ66" s="10"/>
      <c r="GA66" s="10"/>
      <c r="GB66" s="10"/>
      <c r="GC66" s="10"/>
      <c r="GD66" s="4"/>
      <c r="GE66" s="4"/>
      <c r="GF66" s="4"/>
      <c r="GG66" s="4"/>
      <c r="GH66" s="4"/>
      <c r="GI66" s="4"/>
      <c r="GJ66" s="4"/>
      <c r="GK66" s="4"/>
      <c r="GL66" s="4"/>
      <c r="GM66" s="4"/>
      <c r="GN66" s="10"/>
      <c r="GO66" s="10"/>
      <c r="GP66" s="4"/>
      <c r="GQ66" s="10"/>
      <c r="GR66" s="4"/>
      <c r="GS66" s="10"/>
      <c r="GT66" s="4"/>
      <c r="GU66" s="10"/>
      <c r="GV66" s="4"/>
      <c r="GW66" s="10"/>
      <c r="GX66" s="10"/>
      <c r="GY66" s="10"/>
      <c r="GZ66" s="10"/>
      <c r="HA66" s="18"/>
      <c r="HB66" s="4"/>
      <c r="HC66" s="77" t="e">
        <f t="shared" si="22"/>
        <v>#DIV/0!</v>
      </c>
      <c r="HD66" s="8">
        <f t="shared" si="51"/>
        <v>296272.61000000004</v>
      </c>
      <c r="HE66" s="2"/>
      <c r="HF66" s="3" t="s">
        <v>360</v>
      </c>
      <c r="HG66" s="4">
        <f>13671.27+334050.27</f>
        <v>347721.54000000004</v>
      </c>
      <c r="HH66" s="4"/>
      <c r="HI66" s="4"/>
      <c r="HJ66" s="4"/>
      <c r="HK66" s="4"/>
      <c r="HL66" s="4"/>
      <c r="HM66" s="4"/>
      <c r="HN66" s="4"/>
      <c r="HO66" s="4"/>
      <c r="HP66" s="4"/>
      <c r="HQ66" s="4"/>
      <c r="HR66" s="4"/>
      <c r="HS66" s="4"/>
      <c r="HT66" s="10"/>
      <c r="HU66" s="10"/>
      <c r="HV66" s="4"/>
      <c r="HW66" s="4"/>
      <c r="HX66" s="4"/>
      <c r="HY66" s="4"/>
      <c r="HZ66" s="4"/>
      <c r="IA66" s="4"/>
      <c r="IB66" s="4"/>
      <c r="IC66" s="4"/>
      <c r="ID66" s="10"/>
      <c r="IE66" s="4"/>
      <c r="IF66" s="10"/>
      <c r="IG66" s="4"/>
      <c r="IH66" s="4"/>
      <c r="II66" s="4"/>
      <c r="IJ66" s="4"/>
      <c r="IK66" s="4"/>
      <c r="IL66" s="4"/>
      <c r="IM66" s="4"/>
      <c r="IN66" s="4"/>
      <c r="IO66" s="4"/>
      <c r="IP66" s="4"/>
      <c r="IQ66" s="4"/>
      <c r="IR66" s="4"/>
      <c r="IS66" s="4"/>
      <c r="IT66" s="10"/>
      <c r="IU66" s="4"/>
      <c r="IV66" s="4"/>
      <c r="IW66" s="4"/>
      <c r="IX66" s="10"/>
      <c r="IY66" s="4"/>
      <c r="IZ66" s="4"/>
      <c r="JA66" s="4"/>
      <c r="JB66" s="4"/>
      <c r="JC66" s="4"/>
      <c r="JD66" s="4"/>
      <c r="JE66" s="4"/>
      <c r="JF66" s="10"/>
      <c r="JG66" s="10"/>
      <c r="JH66" s="10"/>
      <c r="JI66" s="4"/>
      <c r="JJ66" s="4"/>
      <c r="JK66" s="4"/>
      <c r="JL66" s="4"/>
      <c r="JM66" s="4"/>
      <c r="JN66" s="10"/>
      <c r="JO66" s="10"/>
      <c r="JP66" s="4"/>
      <c r="JQ66" s="4"/>
      <c r="JR66" s="4"/>
      <c r="JS66" s="4"/>
      <c r="JT66" s="4"/>
      <c r="JU66" s="10"/>
      <c r="JV66" s="4"/>
      <c r="JW66" s="4"/>
      <c r="JX66" s="4"/>
      <c r="JY66" s="4"/>
      <c r="JZ66" s="4"/>
      <c r="KA66" s="4"/>
      <c r="KB66" s="4"/>
      <c r="KC66" s="4"/>
      <c r="KD66" s="10"/>
      <c r="KE66" s="10"/>
      <c r="KF66" s="10"/>
      <c r="KG66" s="4"/>
      <c r="KH66" s="10"/>
      <c r="KI66" s="10"/>
      <c r="KJ66" s="10"/>
      <c r="KK66" s="10"/>
      <c r="KL66" s="4"/>
      <c r="KM66" s="10"/>
      <c r="KN66" s="4"/>
      <c r="KO66" s="4"/>
      <c r="KP66" s="4"/>
      <c r="KQ66" s="4"/>
      <c r="KR66" s="10"/>
      <c r="KS66" s="4"/>
      <c r="KT66" s="4"/>
      <c r="KU66" s="4"/>
      <c r="KV66" s="4"/>
      <c r="KW66" s="4"/>
      <c r="KX66" s="18"/>
      <c r="KY66" s="4"/>
      <c r="KZ66" s="77" t="e">
        <f t="shared" si="23"/>
        <v>#DIV/0!</v>
      </c>
      <c r="LA66" s="8">
        <f t="shared" si="62"/>
        <v>347721.54000000004</v>
      </c>
      <c r="LB66" s="2"/>
      <c r="LC66" s="43"/>
      <c r="MO66" s="172"/>
      <c r="NO66" s="77"/>
      <c r="NP66" s="63"/>
      <c r="NQ66"/>
      <c r="NR66" s="77" t="e">
        <f t="shared" si="24"/>
        <v>#DIV/0!</v>
      </c>
      <c r="NS66" s="8">
        <f t="shared" si="42"/>
        <v>0</v>
      </c>
      <c r="NT66" s="2"/>
      <c r="NU66" s="40" t="s">
        <v>306</v>
      </c>
      <c r="NV66" s="4">
        <v>30146.639999999999</v>
      </c>
      <c r="NW66" s="4"/>
      <c r="NX66" s="4"/>
      <c r="NY66" s="4"/>
      <c r="NZ66" s="4"/>
      <c r="OA66" s="4"/>
      <c r="OB66" s="4"/>
      <c r="OC66" s="4"/>
      <c r="OD66" s="4"/>
      <c r="OE66" s="77" t="e">
        <f t="shared" si="25"/>
        <v>#DIV/0!</v>
      </c>
      <c r="OF66" s="8">
        <f t="shared" si="43"/>
        <v>30146.639999999999</v>
      </c>
      <c r="OG66" s="2"/>
      <c r="OH66" s="1" t="s">
        <v>306</v>
      </c>
      <c r="OI66" s="1">
        <v>33578.15</v>
      </c>
      <c r="OJ66" s="40"/>
      <c r="OK66" s="40"/>
      <c r="OL66" s="40"/>
      <c r="OM66" s="40"/>
      <c r="ON66" s="40"/>
      <c r="OO66" s="40"/>
      <c r="OQ66" s="40"/>
      <c r="OR66" s="77" t="e">
        <f t="shared" si="48"/>
        <v>#DIV/0!</v>
      </c>
      <c r="OS66" s="8">
        <f t="shared" si="49"/>
        <v>33578.15</v>
      </c>
      <c r="OT66" s="37"/>
      <c r="OU66" s="126">
        <f t="shared" si="50"/>
        <v>754589.61</v>
      </c>
      <c r="OV66" s="71" t="e">
        <f t="shared" si="44"/>
        <v>#DIV/0!</v>
      </c>
      <c r="OW66" s="139">
        <f>IF(A66="","",SUM(Z$17:Z66))</f>
        <v>20000</v>
      </c>
      <c r="OX66" s="139">
        <f t="shared" si="52"/>
        <v>741011.46</v>
      </c>
      <c r="OY66" s="132">
        <f t="shared" si="53"/>
        <v>3.842892757595754E-2</v>
      </c>
      <c r="OZ66" s="140">
        <f t="shared" si="34"/>
        <v>643994.15000000014</v>
      </c>
      <c r="PA66" s="84" t="e">
        <f t="shared" si="47"/>
        <v>#DIV/0!</v>
      </c>
      <c r="PB66" s="130">
        <f>IF(A66="","",SUM(HB$17:HB66)+SUM(KY$17:KY66))</f>
        <v>112337.66</v>
      </c>
      <c r="PC66" s="131">
        <f t="shared" si="54"/>
        <v>756331.81000000017</v>
      </c>
      <c r="PD66" s="132">
        <f t="shared" si="55"/>
        <v>0.14505338967269801</v>
      </c>
      <c r="PE66" s="133"/>
      <c r="PF66" s="134"/>
      <c r="PG66" s="133"/>
      <c r="PH66" s="134"/>
      <c r="PI66" s="135">
        <f t="shared" si="56"/>
        <v>1398583.7600000002</v>
      </c>
      <c r="PJ66" s="136" t="e">
        <f t="shared" si="10"/>
        <v>#DIV/0!</v>
      </c>
      <c r="PK66" s="123"/>
      <c r="PL66" s="137">
        <f t="shared" si="57"/>
        <v>132337.66</v>
      </c>
      <c r="PM66" s="9">
        <f t="shared" si="58"/>
        <v>1497343.27</v>
      </c>
      <c r="PN66" s="138">
        <f t="shared" si="59"/>
        <v>8.9682245235097643E-2</v>
      </c>
      <c r="PO66" s="86">
        <f>IF(PI66="","",MAX(PI$15:PI66))</f>
        <v>1539876</v>
      </c>
      <c r="PP66" s="113">
        <f t="shared" si="11"/>
        <v>-0.10102522568973611</v>
      </c>
      <c r="PQ66" s="41"/>
      <c r="PR66" s="302"/>
    </row>
    <row r="67" spans="1:434" s="1" customFormat="1" ht="15" customHeight="1" x14ac:dyDescent="0.45">
      <c r="A67" s="18">
        <v>44045</v>
      </c>
      <c r="B67" s="29" t="s">
        <v>306</v>
      </c>
      <c r="C67" s="4">
        <v>3046</v>
      </c>
      <c r="D67" s="10"/>
      <c r="E67" s="10"/>
      <c r="F67" s="10"/>
      <c r="G67" s="4">
        <v>49153</v>
      </c>
      <c r="H67" s="4"/>
      <c r="I67" s="4"/>
      <c r="J67" s="4"/>
      <c r="K67" s="4"/>
      <c r="L67" s="4"/>
      <c r="M67" s="4"/>
      <c r="N67" s="4"/>
      <c r="O67" s="10"/>
      <c r="P67" s="4"/>
      <c r="Q67" s="4"/>
      <c r="R67" s="4"/>
      <c r="S67" s="4"/>
      <c r="T67" s="4"/>
      <c r="U67" s="10"/>
      <c r="V67" s="10"/>
      <c r="W67" s="10"/>
      <c r="X67" s="4"/>
      <c r="Y67" s="18">
        <f t="shared" si="63"/>
        <v>44021</v>
      </c>
      <c r="Z67" s="4"/>
      <c r="AA67" s="77">
        <f t="shared" si="21"/>
        <v>2.023485005289884E-2</v>
      </c>
      <c r="AB67" s="8">
        <f t="shared" si="60"/>
        <v>52199</v>
      </c>
      <c r="AC67" s="2"/>
      <c r="AD67" s="3" t="s">
        <v>306</v>
      </c>
      <c r="AE67" s="4">
        <v>313767</v>
      </c>
      <c r="AF67" s="4">
        <v>311413</v>
      </c>
      <c r="AG67" s="4"/>
      <c r="AH67" s="4"/>
      <c r="AJ67" s="4"/>
      <c r="AK67" s="4"/>
      <c r="AL67" s="4"/>
      <c r="AM67" s="4"/>
      <c r="AO67" s="4"/>
      <c r="AP67" s="10"/>
      <c r="AQ67" s="4"/>
      <c r="AR67" s="4"/>
      <c r="AS67" s="4"/>
      <c r="AT67" s="4"/>
      <c r="AU67" s="4"/>
      <c r="AW67" s="4"/>
      <c r="AX67" s="4"/>
      <c r="AY67" s="4"/>
      <c r="AZ67" s="4"/>
      <c r="BA67" s="4"/>
      <c r="BB67" s="4"/>
      <c r="BC67" s="4"/>
      <c r="BD67" s="4"/>
      <c r="BE67" s="4"/>
      <c r="BF67" s="4"/>
      <c r="BH67" s="4"/>
      <c r="BI67" s="4"/>
      <c r="BJ67" s="4"/>
      <c r="BK67" s="4"/>
      <c r="BL67" s="4"/>
      <c r="BM67" s="4"/>
      <c r="BN67" s="4"/>
      <c r="BO67" s="4"/>
      <c r="BP67" s="4"/>
      <c r="BQ67" s="4"/>
      <c r="BS67" s="10"/>
      <c r="BT67" s="4"/>
      <c r="BU67" s="4"/>
      <c r="BV67" s="4"/>
      <c r="BW67" s="4"/>
      <c r="CA67" s="4"/>
      <c r="CB67" s="4"/>
      <c r="CC67" s="4">
        <v>17941</v>
      </c>
      <c r="CD67" s="4"/>
      <c r="CE67" s="4"/>
      <c r="CF67" s="4"/>
      <c r="CG67" s="4"/>
      <c r="CH67" s="4"/>
      <c r="CI67" s="4"/>
      <c r="CJ67" s="10"/>
      <c r="CK67" s="4"/>
      <c r="CL67" s="10"/>
      <c r="CN67" s="4"/>
      <c r="CO67" s="10"/>
      <c r="CP67" s="4"/>
      <c r="CQ67" s="4"/>
      <c r="CR67" s="10"/>
      <c r="CS67" s="4"/>
      <c r="CT67" s="4"/>
      <c r="CU67" s="4"/>
      <c r="CV67" s="4"/>
      <c r="CW67" s="4"/>
      <c r="CX67" s="4"/>
      <c r="CY67" s="77">
        <f t="shared" si="46"/>
        <v>5.3460748254759386E-3</v>
      </c>
      <c r="CZ67" s="8">
        <f t="shared" si="61"/>
        <v>643121</v>
      </c>
      <c r="DA67" s="2"/>
      <c r="DH67" s="4"/>
      <c r="DJ67" s="4"/>
      <c r="DX67" s="2"/>
      <c r="DY67" s="32"/>
      <c r="DZ67" s="4">
        <v>30147</v>
      </c>
      <c r="EA67" s="32"/>
      <c r="EB67" s="32"/>
      <c r="EC67" s="32"/>
      <c r="ED67" s="32"/>
      <c r="EE67" s="4"/>
      <c r="EF67" s="4"/>
      <c r="EG67" s="32"/>
      <c r="EH67" s="32"/>
      <c r="EI67" s="32"/>
      <c r="EJ67" s="32"/>
      <c r="EK67" s="5"/>
      <c r="EO67" s="2"/>
      <c r="EQ67" s="468" t="s">
        <v>1</v>
      </c>
      <c r="ER67"/>
      <c r="ES67" s="6" t="s">
        <v>361</v>
      </c>
      <c r="ET67" s="10"/>
      <c r="EU67" s="10"/>
      <c r="EV67" s="10"/>
      <c r="EW67" s="10"/>
      <c r="EX67" s="4">
        <v>295912</v>
      </c>
      <c r="EY67" s="4"/>
      <c r="EZ67" s="4"/>
      <c r="FA67" s="4"/>
      <c r="FB67" s="4"/>
      <c r="FC67" s="4"/>
      <c r="FD67" s="4"/>
      <c r="FE67" s="4"/>
      <c r="FF67" s="4"/>
      <c r="FG67" s="4"/>
      <c r="FH67" s="10"/>
      <c r="FI67" s="10"/>
      <c r="FJ67" s="10"/>
      <c r="FK67" s="10"/>
      <c r="FL67" s="10"/>
      <c r="FM67" s="10"/>
      <c r="FN67" s="4"/>
      <c r="FO67" s="4"/>
      <c r="FP67" s="10"/>
      <c r="FQ67" s="4"/>
      <c r="FR67" s="4"/>
      <c r="FS67" s="10"/>
      <c r="FT67" s="4"/>
      <c r="FU67" s="4"/>
      <c r="FV67" s="4"/>
      <c r="FW67" s="4"/>
      <c r="FX67" s="4"/>
      <c r="FY67" s="4"/>
      <c r="FZ67" s="10"/>
      <c r="GA67" s="10"/>
      <c r="GB67" s="10"/>
      <c r="GC67" s="10"/>
      <c r="GD67" s="4"/>
      <c r="GE67" s="4"/>
      <c r="GF67" s="4"/>
      <c r="GG67" s="4"/>
      <c r="GH67" s="4"/>
      <c r="GI67" s="4"/>
      <c r="GJ67" s="4"/>
      <c r="GK67" s="4"/>
      <c r="GL67" s="4"/>
      <c r="GM67" s="4"/>
      <c r="GN67" s="10"/>
      <c r="GO67" s="10"/>
      <c r="GP67" s="4"/>
      <c r="GQ67" s="10"/>
      <c r="GR67" s="4"/>
      <c r="GS67" s="10"/>
      <c r="GT67" s="4"/>
      <c r="GU67" s="10"/>
      <c r="GV67" s="4"/>
      <c r="GW67" s="10"/>
      <c r="GX67" s="10"/>
      <c r="GY67" s="10"/>
      <c r="GZ67" s="10"/>
      <c r="HA67" s="18">
        <v>44021</v>
      </c>
      <c r="HB67" s="4">
        <v>738.8</v>
      </c>
      <c r="HC67" s="77">
        <f t="shared" si="22"/>
        <v>-1.2171560509763092E-3</v>
      </c>
      <c r="HD67" s="8">
        <f t="shared" si="51"/>
        <v>295912</v>
      </c>
      <c r="HE67" s="2"/>
      <c r="HF67" s="3" t="s">
        <v>306</v>
      </c>
      <c r="HG67" s="4">
        <v>347249</v>
      </c>
      <c r="HH67" s="4"/>
      <c r="HI67" s="4"/>
      <c r="HJ67" s="4"/>
      <c r="HK67" s="4"/>
      <c r="HL67" s="4"/>
      <c r="HM67" s="4"/>
      <c r="HN67" s="4"/>
      <c r="HO67" s="4"/>
      <c r="HP67" s="4"/>
      <c r="HQ67" s="4"/>
      <c r="HR67" s="4"/>
      <c r="HS67" s="4"/>
      <c r="HT67" s="10"/>
      <c r="HU67" s="10"/>
      <c r="HV67" s="4"/>
      <c r="HW67" s="4"/>
      <c r="HX67" s="4"/>
      <c r="HY67" s="4"/>
      <c r="HZ67" s="4"/>
      <c r="IA67" s="4"/>
      <c r="IB67" s="4"/>
      <c r="IC67" s="4"/>
      <c r="ID67" s="10"/>
      <c r="IE67" s="4"/>
      <c r="IF67" s="10"/>
      <c r="IG67" s="4"/>
      <c r="IH67" s="4"/>
      <c r="II67" s="4"/>
      <c r="IJ67" s="4"/>
      <c r="IK67" s="4"/>
      <c r="IL67" s="4"/>
      <c r="IM67" s="4"/>
      <c r="IN67" s="4"/>
      <c r="IO67" s="4"/>
      <c r="IP67" s="4"/>
      <c r="IQ67" s="4"/>
      <c r="IR67" s="4"/>
      <c r="IS67" s="4"/>
      <c r="IT67" s="10"/>
      <c r="IU67" s="4"/>
      <c r="IV67" s="4"/>
      <c r="IW67" s="4"/>
      <c r="IX67" s="10"/>
      <c r="IY67" s="4"/>
      <c r="IZ67" s="4"/>
      <c r="JA67" s="4"/>
      <c r="JB67" s="4"/>
      <c r="JC67" s="4"/>
      <c r="JD67" s="4"/>
      <c r="JE67" s="4"/>
      <c r="JF67" s="10"/>
      <c r="JG67" s="10"/>
      <c r="JH67" s="10"/>
      <c r="JI67" s="4"/>
      <c r="JJ67" s="4"/>
      <c r="JK67" s="4"/>
      <c r="JL67" s="4"/>
      <c r="JM67" s="4"/>
      <c r="JN67" s="10"/>
      <c r="JO67" s="10"/>
      <c r="JP67" s="4"/>
      <c r="JQ67" s="4"/>
      <c r="JR67" s="4"/>
      <c r="JS67" s="4"/>
      <c r="JT67" s="4"/>
      <c r="JU67" s="10"/>
      <c r="JV67" s="4"/>
      <c r="JW67" s="4"/>
      <c r="JX67" s="4"/>
      <c r="JY67" s="4"/>
      <c r="JZ67" s="4"/>
      <c r="KA67" s="4"/>
      <c r="KB67" s="4"/>
      <c r="KC67" s="4"/>
      <c r="KD67" s="10"/>
      <c r="KE67" s="10"/>
      <c r="KF67" s="10"/>
      <c r="KG67" s="4"/>
      <c r="KH67" s="10"/>
      <c r="KI67" s="10"/>
      <c r="KJ67" s="10"/>
      <c r="KK67" s="10"/>
      <c r="KL67" s="4"/>
      <c r="KM67" s="10"/>
      <c r="KN67" s="4"/>
      <c r="KO67" s="4"/>
      <c r="KP67" s="4"/>
      <c r="KQ67" s="4"/>
      <c r="KR67" s="10"/>
      <c r="KS67" s="4"/>
      <c r="KT67" s="4"/>
      <c r="KU67" s="4"/>
      <c r="KV67" s="4"/>
      <c r="KW67" s="4"/>
      <c r="KX67" s="18">
        <v>44021</v>
      </c>
      <c r="KY67" s="4">
        <v>868.85</v>
      </c>
      <c r="KZ67" s="77">
        <f t="shared" si="23"/>
        <v>-1.3589609662951487E-3</v>
      </c>
      <c r="LA67" s="8">
        <f t="shared" si="62"/>
        <v>347249</v>
      </c>
      <c r="LB67" s="2"/>
      <c r="LC67" s="43"/>
      <c r="MO67" s="172"/>
      <c r="NO67" s="77"/>
      <c r="NP67" s="63"/>
      <c r="NQ67"/>
      <c r="NR67" s="77" t="e">
        <f t="shared" si="24"/>
        <v>#DIV/0!</v>
      </c>
      <c r="NS67" s="8">
        <f t="shared" si="42"/>
        <v>0</v>
      </c>
      <c r="NT67" s="2"/>
      <c r="NU67" s="40" t="s">
        <v>306</v>
      </c>
      <c r="NV67" s="4">
        <v>30147</v>
      </c>
      <c r="NW67" s="4"/>
      <c r="NX67" s="4"/>
      <c r="NY67" s="4"/>
      <c r="NZ67" s="4"/>
      <c r="OA67" s="4"/>
      <c r="OB67" s="4"/>
      <c r="OC67" s="4"/>
      <c r="OD67" s="4"/>
      <c r="OE67" s="77">
        <f t="shared" si="25"/>
        <v>1.1941629315923171E-5</v>
      </c>
      <c r="OF67" s="8">
        <f t="shared" si="43"/>
        <v>30147</v>
      </c>
      <c r="OG67" s="2"/>
      <c r="OH67" s="1" t="s">
        <v>306</v>
      </c>
      <c r="OI67" s="1">
        <v>33578</v>
      </c>
      <c r="OJ67" s="40"/>
      <c r="OK67" s="40"/>
      <c r="OL67" s="40"/>
      <c r="OM67" s="40"/>
      <c r="ON67" s="40"/>
      <c r="OO67" s="40"/>
      <c r="OQ67" s="40"/>
      <c r="OR67" s="77">
        <f t="shared" si="48"/>
        <v>-4.467190717816651E-6</v>
      </c>
      <c r="OS67" s="8">
        <f t="shared" si="49"/>
        <v>33578</v>
      </c>
      <c r="OT67" s="37"/>
      <c r="OU67" s="126">
        <f t="shared" si="50"/>
        <v>759045</v>
      </c>
      <c r="OV67" s="71">
        <f t="shared" si="44"/>
        <v>5.9043882144097027E-3</v>
      </c>
      <c r="OW67" s="139">
        <f>IF(A67="","",SUM(Z$17:Z67))</f>
        <v>20000</v>
      </c>
      <c r="OX67" s="139">
        <f t="shared" si="52"/>
        <v>745467</v>
      </c>
      <c r="OY67" s="132">
        <f t="shared" si="53"/>
        <v>4.467277382358753E-2</v>
      </c>
      <c r="OZ67" s="140">
        <f t="shared" si="34"/>
        <v>643161</v>
      </c>
      <c r="PA67" s="84">
        <f t="shared" si="47"/>
        <v>-1.2937229321107024E-3</v>
      </c>
      <c r="PB67" s="130">
        <f>IF(A67="","",SUM(HB$17:HB67)+SUM(KY$17:KY67))</f>
        <v>113945.31</v>
      </c>
      <c r="PC67" s="131">
        <f t="shared" si="54"/>
        <v>757106.31</v>
      </c>
      <c r="PD67" s="132">
        <f t="shared" si="55"/>
        <v>0.14622594891002716</v>
      </c>
      <c r="PE67" s="133"/>
      <c r="PF67" s="134"/>
      <c r="PG67" s="133"/>
      <c r="PH67" s="134"/>
      <c r="PI67" s="135">
        <f t="shared" si="56"/>
        <v>1402206</v>
      </c>
      <c r="PJ67" s="136">
        <f t="shared" si="10"/>
        <v>2.5899342632147802E-3</v>
      </c>
      <c r="PK67" s="123"/>
      <c r="PL67" s="137">
        <f t="shared" si="57"/>
        <v>133945.31</v>
      </c>
      <c r="PM67" s="9">
        <f t="shared" si="58"/>
        <v>1502573.31</v>
      </c>
      <c r="PN67" s="138">
        <f t="shared" si="59"/>
        <v>9.3488374293178897E-2</v>
      </c>
      <c r="PO67" s="86">
        <f>IF(PI67="","",MAX(PI$15:PI67))</f>
        <v>1539876</v>
      </c>
      <c r="PP67" s="113">
        <f t="shared" si="11"/>
        <v>-9.8181009067141348E-2</v>
      </c>
      <c r="PQ67" s="41"/>
      <c r="PR67" s="302"/>
    </row>
    <row r="68" spans="1:434" s="1" customFormat="1" ht="15" customHeight="1" x14ac:dyDescent="0.45">
      <c r="A68" s="18">
        <v>44082</v>
      </c>
      <c r="B68" s="29" t="s">
        <v>306</v>
      </c>
      <c r="C68" s="4">
        <v>3139</v>
      </c>
      <c r="D68" s="10"/>
      <c r="E68" s="10"/>
      <c r="F68" s="10"/>
      <c r="G68" s="4">
        <v>48940</v>
      </c>
      <c r="H68" s="4"/>
      <c r="I68" s="4"/>
      <c r="J68" s="4"/>
      <c r="K68" s="4"/>
      <c r="L68" s="4"/>
      <c r="M68" s="4"/>
      <c r="N68" s="4"/>
      <c r="O68" s="10"/>
      <c r="P68" s="4"/>
      <c r="Q68" s="4"/>
      <c r="R68" s="4"/>
      <c r="S68" s="4"/>
      <c r="T68" s="4"/>
      <c r="U68" s="10"/>
      <c r="V68" s="10"/>
      <c r="W68" s="10"/>
      <c r="X68" s="4"/>
      <c r="Y68" s="18" t="str">
        <f t="shared" si="63"/>
        <v/>
      </c>
      <c r="Z68" s="4"/>
      <c r="AA68" s="77">
        <f t="shared" si="21"/>
        <v>-2.2988946148393649E-3</v>
      </c>
      <c r="AB68" s="8">
        <f t="shared" si="60"/>
        <v>52079</v>
      </c>
      <c r="AC68" s="2"/>
      <c r="AD68" s="3" t="s">
        <v>362</v>
      </c>
      <c r="AE68" s="4">
        <v>264183</v>
      </c>
      <c r="AF68" s="4">
        <v>285316</v>
      </c>
      <c r="AG68" s="4"/>
      <c r="AH68" s="4"/>
      <c r="AJ68" s="4"/>
      <c r="AK68" s="4"/>
      <c r="AL68" s="4"/>
      <c r="AM68" s="4"/>
      <c r="AO68" s="4"/>
      <c r="AP68" s="10"/>
      <c r="AQ68" s="4"/>
      <c r="AR68" s="4"/>
      <c r="AS68" s="4"/>
      <c r="AT68" s="4">
        <v>26228</v>
      </c>
      <c r="AU68" s="4"/>
      <c r="AW68" s="4"/>
      <c r="AX68" s="4"/>
      <c r="AY68" s="4"/>
      <c r="AZ68" s="4"/>
      <c r="BA68" s="4"/>
      <c r="BB68" s="4"/>
      <c r="BC68" s="4"/>
      <c r="BD68" s="4"/>
      <c r="BE68" s="4"/>
      <c r="BF68" s="4"/>
      <c r="BH68" s="4"/>
      <c r="BI68" s="4"/>
      <c r="BJ68" s="4"/>
      <c r="BK68" s="4"/>
      <c r="BL68" s="4"/>
      <c r="BM68" s="4"/>
      <c r="BN68" s="4"/>
      <c r="BO68" s="4"/>
      <c r="BP68" s="4"/>
      <c r="BQ68" s="4"/>
      <c r="BS68" s="10"/>
      <c r="BT68" s="4"/>
      <c r="BU68" s="4"/>
      <c r="BV68" s="4">
        <v>25479</v>
      </c>
      <c r="BW68" s="4"/>
      <c r="CA68" s="4"/>
      <c r="CB68" s="4"/>
      <c r="CC68" s="4">
        <v>18162</v>
      </c>
      <c r="CD68" s="4"/>
      <c r="CE68" s="4"/>
      <c r="CF68" s="4">
        <v>25280</v>
      </c>
      <c r="CG68" s="4"/>
      <c r="CH68" s="4"/>
      <c r="CI68" s="4"/>
      <c r="CJ68" s="10"/>
      <c r="CK68" s="4"/>
      <c r="CL68" s="10"/>
      <c r="CN68" s="4"/>
      <c r="CO68" s="10"/>
      <c r="CP68" s="4"/>
      <c r="CQ68" s="4"/>
      <c r="CR68" s="10"/>
      <c r="CS68" s="4"/>
      <c r="CT68" s="4"/>
      <c r="CU68" s="4"/>
      <c r="CV68" s="4"/>
      <c r="CW68" s="4"/>
      <c r="CX68" s="4"/>
      <c r="CY68" s="77">
        <f t="shared" si="46"/>
        <v>2.3743587909584667E-3</v>
      </c>
      <c r="CZ68" s="8">
        <f t="shared" si="61"/>
        <v>644648</v>
      </c>
      <c r="DA68" s="2"/>
      <c r="DH68" s="4"/>
      <c r="DJ68" s="4"/>
      <c r="DX68" s="2"/>
      <c r="DY68" s="32"/>
      <c r="DZ68" s="4">
        <v>30147</v>
      </c>
      <c r="EA68" s="32"/>
      <c r="EB68" s="32"/>
      <c r="EC68" s="32"/>
      <c r="ED68" s="32"/>
      <c r="EE68" s="4"/>
      <c r="EF68" s="4"/>
      <c r="EG68" s="32"/>
      <c r="EH68" s="32"/>
      <c r="EI68" s="32"/>
      <c r="EJ68" s="32"/>
      <c r="EK68" s="5"/>
      <c r="EO68" s="2"/>
      <c r="EQ68" s="468" t="s">
        <v>1</v>
      </c>
      <c r="ER68"/>
      <c r="ES68" s="3" t="s">
        <v>306</v>
      </c>
      <c r="ET68" s="10"/>
      <c r="EU68" s="10"/>
      <c r="EV68" s="10"/>
      <c r="EW68" s="10"/>
      <c r="EX68" s="4">
        <v>296015</v>
      </c>
      <c r="EY68" s="4"/>
      <c r="EZ68" s="4"/>
      <c r="FA68" s="4"/>
      <c r="FB68" s="4"/>
      <c r="FC68" s="4"/>
      <c r="FD68" s="4"/>
      <c r="FE68" s="4"/>
      <c r="FF68" s="4"/>
      <c r="FG68" s="4"/>
      <c r="FH68" s="10"/>
      <c r="FI68" s="10"/>
      <c r="FJ68" s="10"/>
      <c r="FK68" s="10"/>
      <c r="FL68" s="10"/>
      <c r="FM68" s="10"/>
      <c r="FN68" s="4"/>
      <c r="FO68" s="4"/>
      <c r="FP68" s="10"/>
      <c r="FQ68" s="4"/>
      <c r="FR68" s="4"/>
      <c r="FS68" s="10"/>
      <c r="FT68" s="4"/>
      <c r="FU68" s="4"/>
      <c r="FV68" s="4"/>
      <c r="FW68" s="4"/>
      <c r="FX68" s="4"/>
      <c r="FY68" s="4"/>
      <c r="FZ68" s="10"/>
      <c r="GA68" s="10"/>
      <c r="GB68" s="10"/>
      <c r="GC68" s="10"/>
      <c r="GD68" s="4"/>
      <c r="GE68" s="4"/>
      <c r="GF68" s="4"/>
      <c r="GG68" s="4"/>
      <c r="GH68" s="4"/>
      <c r="GI68" s="4"/>
      <c r="GJ68" s="4"/>
      <c r="GK68" s="4"/>
      <c r="GL68" s="4"/>
      <c r="GM68" s="4"/>
      <c r="GN68" s="10"/>
      <c r="GO68" s="10"/>
      <c r="GP68" s="4"/>
      <c r="GQ68" s="10"/>
      <c r="GR68" s="4"/>
      <c r="GS68" s="10"/>
      <c r="GT68" s="4"/>
      <c r="GU68" s="10"/>
      <c r="GV68" s="4"/>
      <c r="GW68" s="10"/>
      <c r="GX68" s="10"/>
      <c r="GY68" s="10"/>
      <c r="GZ68" s="10"/>
      <c r="HA68" s="18"/>
      <c r="HB68" s="4"/>
      <c r="HC68" s="77">
        <f t="shared" si="22"/>
        <v>3.4807645516234554E-4</v>
      </c>
      <c r="HD68" s="8">
        <f t="shared" si="51"/>
        <v>296015</v>
      </c>
      <c r="HE68" s="2"/>
      <c r="HF68" s="3" t="s">
        <v>306</v>
      </c>
      <c r="HG68" s="4">
        <v>347252</v>
      </c>
      <c r="HH68" s="4"/>
      <c r="HI68" s="4"/>
      <c r="HJ68" s="4"/>
      <c r="HK68" s="4"/>
      <c r="HL68" s="4"/>
      <c r="HM68" s="4"/>
      <c r="HN68" s="4"/>
      <c r="HO68" s="4"/>
      <c r="HP68" s="4"/>
      <c r="HQ68" s="4"/>
      <c r="HR68" s="4"/>
      <c r="HS68" s="4"/>
      <c r="HT68" s="10"/>
      <c r="HU68" s="10"/>
      <c r="HV68" s="4"/>
      <c r="HW68" s="4"/>
      <c r="HX68" s="4"/>
      <c r="HY68" s="4"/>
      <c r="HZ68" s="4"/>
      <c r="IA68" s="4"/>
      <c r="IB68" s="4"/>
      <c r="IC68" s="4"/>
      <c r="ID68" s="10"/>
      <c r="IE68" s="4"/>
      <c r="IF68" s="10"/>
      <c r="IG68" s="4"/>
      <c r="IH68" s="4"/>
      <c r="II68" s="4"/>
      <c r="IJ68" s="4"/>
      <c r="IK68" s="4"/>
      <c r="IL68" s="4"/>
      <c r="IM68" s="4"/>
      <c r="IN68" s="4"/>
      <c r="IO68" s="4"/>
      <c r="IP68" s="4"/>
      <c r="IQ68" s="4"/>
      <c r="IR68" s="4"/>
      <c r="IS68" s="4"/>
      <c r="IT68" s="10"/>
      <c r="IU68" s="4"/>
      <c r="IV68" s="4"/>
      <c r="IW68" s="4"/>
      <c r="IX68" s="10"/>
      <c r="IY68" s="4"/>
      <c r="IZ68" s="4"/>
      <c r="JA68" s="4"/>
      <c r="JB68" s="4"/>
      <c r="JC68" s="4"/>
      <c r="JD68" s="4"/>
      <c r="JE68" s="4"/>
      <c r="JF68" s="10"/>
      <c r="JG68" s="10"/>
      <c r="JH68" s="10"/>
      <c r="JI68" s="4"/>
      <c r="JJ68" s="4"/>
      <c r="JK68" s="4"/>
      <c r="JL68" s="4"/>
      <c r="JM68" s="4"/>
      <c r="JN68" s="10"/>
      <c r="JO68" s="10"/>
      <c r="JP68" s="4"/>
      <c r="JQ68" s="4"/>
      <c r="JR68" s="4"/>
      <c r="JS68" s="4"/>
      <c r="JT68" s="4"/>
      <c r="JU68" s="10"/>
      <c r="JV68" s="4"/>
      <c r="JW68" s="4"/>
      <c r="JX68" s="4"/>
      <c r="JY68" s="4"/>
      <c r="JZ68" s="4"/>
      <c r="KA68" s="4"/>
      <c r="KB68" s="4"/>
      <c r="KC68" s="4"/>
      <c r="KD68" s="10"/>
      <c r="KE68" s="10"/>
      <c r="KF68" s="10"/>
      <c r="KG68" s="4"/>
      <c r="KH68" s="10"/>
      <c r="KI68" s="10"/>
      <c r="KJ68" s="10"/>
      <c r="KK68" s="10"/>
      <c r="KL68" s="4"/>
      <c r="KM68" s="10"/>
      <c r="KN68" s="4"/>
      <c r="KO68" s="4"/>
      <c r="KP68" s="4"/>
      <c r="KQ68" s="4"/>
      <c r="KR68" s="10"/>
      <c r="KS68" s="4"/>
      <c r="KT68" s="4"/>
      <c r="KU68" s="4"/>
      <c r="KV68" s="4"/>
      <c r="KW68" s="4"/>
      <c r="KX68" s="18"/>
      <c r="KY68" s="4"/>
      <c r="KZ68" s="77">
        <f t="shared" si="23"/>
        <v>8.6393337345823887E-6</v>
      </c>
      <c r="LA68" s="8">
        <f t="shared" si="62"/>
        <v>347252</v>
      </c>
      <c r="LB68" s="2"/>
      <c r="LC68" s="43"/>
      <c r="MO68" s="172"/>
      <c r="NO68" s="77"/>
      <c r="NP68" s="63"/>
      <c r="NQ68"/>
      <c r="NR68" s="77" t="e">
        <f t="shared" si="24"/>
        <v>#DIV/0!</v>
      </c>
      <c r="NS68" s="8">
        <f t="shared" si="42"/>
        <v>0</v>
      </c>
      <c r="NT68" s="2"/>
      <c r="NU68" s="40" t="s">
        <v>306</v>
      </c>
      <c r="NV68" s="4">
        <v>30147</v>
      </c>
      <c r="NW68" s="4"/>
      <c r="NX68" s="4"/>
      <c r="NY68" s="4"/>
      <c r="NZ68" s="4"/>
      <c r="OA68" s="4"/>
      <c r="OB68" s="4"/>
      <c r="OC68" s="4"/>
      <c r="OD68" s="4"/>
      <c r="OE68" s="77">
        <f t="shared" si="25"/>
        <v>0</v>
      </c>
      <c r="OF68" s="8">
        <f t="shared" si="43"/>
        <v>30147</v>
      </c>
      <c r="OG68" s="2"/>
      <c r="OH68" s="1" t="s">
        <v>306</v>
      </c>
      <c r="OI68" s="1">
        <v>33579</v>
      </c>
      <c r="OJ68" s="40"/>
      <c r="OK68" s="40"/>
      <c r="OL68" s="40"/>
      <c r="OM68" s="40"/>
      <c r="ON68" s="40"/>
      <c r="OO68" s="40"/>
      <c r="OQ68" s="40"/>
      <c r="OR68" s="77">
        <f t="shared" si="48"/>
        <v>2.9781404491035798E-5</v>
      </c>
      <c r="OS68" s="8">
        <f t="shared" si="49"/>
        <v>33579</v>
      </c>
      <c r="OT68" s="37"/>
      <c r="OU68" s="126">
        <f t="shared" si="50"/>
        <v>760453</v>
      </c>
      <c r="OV68" s="71">
        <f t="shared" si="44"/>
        <v>1.8549624857551266E-3</v>
      </c>
      <c r="OW68" s="139">
        <f>IF(A68="","",SUM(Z$17:Z68))</f>
        <v>20000</v>
      </c>
      <c r="OX68" s="139">
        <f t="shared" si="52"/>
        <v>746874</v>
      </c>
      <c r="OY68" s="132">
        <f t="shared" si="53"/>
        <v>4.6644497042415169E-2</v>
      </c>
      <c r="OZ68" s="140">
        <f t="shared" si="34"/>
        <v>643267</v>
      </c>
      <c r="PA68" s="84">
        <f t="shared" si="47"/>
        <v>1.6481098822845292E-4</v>
      </c>
      <c r="PB68" s="130">
        <f>IF(A68="","",SUM(HB$17:HB68)+SUM(KY$17:KY68))</f>
        <v>113945.31</v>
      </c>
      <c r="PC68" s="131">
        <f t="shared" si="54"/>
        <v>757212.31</v>
      </c>
      <c r="PD68" s="132">
        <f t="shared" si="55"/>
        <v>0.14638642828918394</v>
      </c>
      <c r="PE68" s="133"/>
      <c r="PF68" s="134"/>
      <c r="PG68" s="133"/>
      <c r="PH68" s="134"/>
      <c r="PI68" s="135">
        <f t="shared" si="56"/>
        <v>1403720</v>
      </c>
      <c r="PJ68" s="136">
        <f t="shared" si="10"/>
        <v>1.0797272298078884E-3</v>
      </c>
      <c r="PK68" s="123"/>
      <c r="PL68" s="137">
        <f t="shared" si="57"/>
        <v>133945.31</v>
      </c>
      <c r="PM68" s="9">
        <f t="shared" si="58"/>
        <v>1504086.31</v>
      </c>
      <c r="PN68" s="138">
        <f t="shared" si="59"/>
        <v>9.4589450626223565E-2</v>
      </c>
      <c r="PO68" s="86">
        <f>IF(PI68="","",MAX(PI$15:PI68))</f>
        <v>1539876</v>
      </c>
      <c r="PP68" s="113">
        <f t="shared" si="11"/>
        <v>-9.6996552018921156E-2</v>
      </c>
      <c r="PQ68" s="41"/>
      <c r="PR68" s="302"/>
    </row>
    <row r="69" spans="1:434" s="1" customFormat="1" ht="15" customHeight="1" x14ac:dyDescent="0.45">
      <c r="A69" s="18">
        <v>44110</v>
      </c>
      <c r="B69" s="29" t="s">
        <v>306</v>
      </c>
      <c r="C69" s="4">
        <v>3225.26</v>
      </c>
      <c r="D69" s="10"/>
      <c r="E69" s="10"/>
      <c r="F69" s="10"/>
      <c r="G69" s="4">
        <v>48728</v>
      </c>
      <c r="H69" s="4"/>
      <c r="I69" s="4"/>
      <c r="J69" s="4"/>
      <c r="K69" s="4"/>
      <c r="L69" s="4"/>
      <c r="M69" s="4"/>
      <c r="N69" s="4"/>
      <c r="O69" s="10"/>
      <c r="P69" s="4"/>
      <c r="Q69" s="4"/>
      <c r="R69" s="4"/>
      <c r="S69" s="4"/>
      <c r="T69" s="4"/>
      <c r="U69" s="10"/>
      <c r="V69" s="10"/>
      <c r="W69" s="10"/>
      <c r="X69" s="4"/>
      <c r="Y69" s="18" t="str">
        <f t="shared" si="63"/>
        <v/>
      </c>
      <c r="Z69" s="4"/>
      <c r="AA69" s="77">
        <f t="shared" si="21"/>
        <v>-2.4144088788186787E-3</v>
      </c>
      <c r="AB69" s="8">
        <f t="shared" si="60"/>
        <v>51953.26</v>
      </c>
      <c r="AC69" s="2"/>
      <c r="AD69" s="3" t="s">
        <v>306</v>
      </c>
      <c r="AE69" s="4">
        <v>239706</v>
      </c>
      <c r="AF69" s="4">
        <v>309478</v>
      </c>
      <c r="AG69" s="4"/>
      <c r="AH69" s="4"/>
      <c r="AJ69" s="4"/>
      <c r="AK69" s="4"/>
      <c r="AL69" s="4"/>
      <c r="AM69" s="4"/>
      <c r="AO69" s="4"/>
      <c r="AP69" s="10"/>
      <c r="AQ69" s="4"/>
      <c r="AR69" s="4"/>
      <c r="AS69" s="4"/>
      <c r="AT69" s="4">
        <v>25076</v>
      </c>
      <c r="AU69" s="4"/>
      <c r="AW69" s="4"/>
      <c r="AX69" s="4"/>
      <c r="AY69" s="4"/>
      <c r="AZ69" s="4"/>
      <c r="BA69" s="4"/>
      <c r="BB69" s="4"/>
      <c r="BC69" s="4"/>
      <c r="BD69" s="4"/>
      <c r="BE69" s="4"/>
      <c r="BF69" s="4"/>
      <c r="BH69" s="4"/>
      <c r="BI69" s="4"/>
      <c r="BJ69" s="4"/>
      <c r="BK69" s="4"/>
      <c r="BL69" s="4"/>
      <c r="BM69" s="4"/>
      <c r="BN69" s="4"/>
      <c r="BO69" s="4"/>
      <c r="BP69" s="4"/>
      <c r="BQ69" s="4"/>
      <c r="BS69" s="10"/>
      <c r="BT69" s="4"/>
      <c r="BU69" s="4"/>
      <c r="BV69" s="4">
        <v>25061</v>
      </c>
      <c r="BW69" s="4"/>
      <c r="CA69" s="4"/>
      <c r="CB69" s="4"/>
      <c r="CC69" s="4">
        <v>13274</v>
      </c>
      <c r="CD69" s="4"/>
      <c r="CE69" s="4"/>
      <c r="CF69" s="4">
        <v>25027</v>
      </c>
      <c r="CG69" s="4"/>
      <c r="CH69" s="4"/>
      <c r="CI69" s="4"/>
      <c r="CJ69" s="10"/>
      <c r="CK69" s="4"/>
      <c r="CL69" s="10"/>
      <c r="CN69" s="4"/>
      <c r="CO69" s="10"/>
      <c r="CP69" s="4"/>
      <c r="CQ69" s="4"/>
      <c r="CR69" s="10"/>
      <c r="CS69" s="4"/>
      <c r="CT69" s="4"/>
      <c r="CU69" s="4"/>
      <c r="CV69" s="4"/>
      <c r="CW69" s="4"/>
      <c r="CX69" s="4"/>
      <c r="CY69" s="77">
        <f t="shared" si="46"/>
        <v>-1.0898971221503828E-2</v>
      </c>
      <c r="CZ69" s="8">
        <f t="shared" si="61"/>
        <v>637622</v>
      </c>
      <c r="DA69" s="2"/>
      <c r="DH69" s="4"/>
      <c r="DJ69" s="4"/>
      <c r="DX69" s="2"/>
      <c r="DY69" s="32"/>
      <c r="DZ69" s="4">
        <v>30147</v>
      </c>
      <c r="EA69" s="32"/>
      <c r="EB69" s="32"/>
      <c r="EC69" s="32"/>
      <c r="ED69" s="32"/>
      <c r="EE69" s="4"/>
      <c r="EF69" s="4"/>
      <c r="EG69" s="32"/>
      <c r="EH69" s="32"/>
      <c r="EI69" s="32"/>
      <c r="EJ69" s="32"/>
      <c r="EK69" s="5"/>
      <c r="EO69" s="2"/>
      <c r="EQ69" s="468" t="s">
        <v>1</v>
      </c>
      <c r="ER69"/>
      <c r="ES69" s="3" t="s">
        <v>306</v>
      </c>
      <c r="ET69" s="10"/>
      <c r="EU69" s="10"/>
      <c r="EV69" s="10"/>
      <c r="EW69" s="10"/>
      <c r="EX69" s="4">
        <v>296018</v>
      </c>
      <c r="EY69" s="4"/>
      <c r="EZ69" s="4"/>
      <c r="FA69" s="4"/>
      <c r="FB69" s="4"/>
      <c r="FC69" s="4"/>
      <c r="FD69" s="4"/>
      <c r="FE69" s="4"/>
      <c r="FF69" s="4"/>
      <c r="FG69" s="4"/>
      <c r="FH69" s="10"/>
      <c r="FI69" s="10"/>
      <c r="FJ69" s="10"/>
      <c r="FK69" s="10"/>
      <c r="FL69" s="10"/>
      <c r="FM69" s="10"/>
      <c r="FN69" s="4"/>
      <c r="FO69" s="4"/>
      <c r="FP69" s="10"/>
      <c r="FQ69" s="4"/>
      <c r="FR69" s="4"/>
      <c r="FS69" s="10"/>
      <c r="FT69" s="4"/>
      <c r="FU69" s="4"/>
      <c r="FV69" s="4"/>
      <c r="FW69" s="4"/>
      <c r="FX69" s="4"/>
      <c r="FY69" s="4"/>
      <c r="FZ69" s="10"/>
      <c r="GA69" s="10"/>
      <c r="GB69" s="10"/>
      <c r="GC69" s="10"/>
      <c r="GD69" s="4"/>
      <c r="GE69" s="4"/>
      <c r="GF69" s="4"/>
      <c r="GG69" s="4"/>
      <c r="GH69" s="4"/>
      <c r="GI69" s="4"/>
      <c r="GJ69" s="4"/>
      <c r="GK69" s="4"/>
      <c r="GL69" s="4"/>
      <c r="GM69" s="4"/>
      <c r="GN69" s="10"/>
      <c r="GO69" s="10"/>
      <c r="GP69" s="4"/>
      <c r="GQ69" s="10"/>
      <c r="GR69" s="4"/>
      <c r="GS69" s="10"/>
      <c r="GT69" s="4"/>
      <c r="GU69" s="10"/>
      <c r="GV69" s="4"/>
      <c r="GW69" s="10"/>
      <c r="GX69" s="10"/>
      <c r="GY69" s="10"/>
      <c r="GZ69" s="10"/>
      <c r="HA69" s="18"/>
      <c r="HB69" s="4"/>
      <c r="HC69" s="77">
        <f t="shared" si="22"/>
        <v>1.0134621556340051E-5</v>
      </c>
      <c r="HD69" s="8">
        <f t="shared" si="51"/>
        <v>296018</v>
      </c>
      <c r="HE69" s="2"/>
      <c r="HF69" s="3" t="s">
        <v>306</v>
      </c>
      <c r="HG69" s="4">
        <v>347255</v>
      </c>
      <c r="HH69" s="4"/>
      <c r="HI69" s="4"/>
      <c r="HJ69" s="4"/>
      <c r="HK69" s="4"/>
      <c r="HL69" s="4"/>
      <c r="HM69" s="4"/>
      <c r="HN69" s="4"/>
      <c r="HO69" s="4"/>
      <c r="HP69" s="4"/>
      <c r="HQ69" s="4"/>
      <c r="HR69" s="4"/>
      <c r="HS69" s="4"/>
      <c r="HT69" s="10"/>
      <c r="HU69" s="10"/>
      <c r="HV69" s="4"/>
      <c r="HW69" s="4"/>
      <c r="HX69" s="4"/>
      <c r="HY69" s="4"/>
      <c r="HZ69" s="4"/>
      <c r="IA69" s="4"/>
      <c r="IB69" s="4"/>
      <c r="IC69" s="4"/>
      <c r="ID69" s="10"/>
      <c r="IE69" s="4"/>
      <c r="IF69" s="10"/>
      <c r="IG69" s="4"/>
      <c r="IH69" s="4"/>
      <c r="II69" s="4"/>
      <c r="IJ69" s="4"/>
      <c r="IK69" s="4"/>
      <c r="IL69" s="4"/>
      <c r="IM69" s="4"/>
      <c r="IN69" s="4"/>
      <c r="IO69" s="4"/>
      <c r="IP69" s="4"/>
      <c r="IQ69" s="4"/>
      <c r="IR69" s="4"/>
      <c r="IS69" s="4"/>
      <c r="IT69" s="10"/>
      <c r="IU69" s="4"/>
      <c r="IV69" s="4"/>
      <c r="IW69" s="4"/>
      <c r="IX69" s="10"/>
      <c r="IY69" s="4"/>
      <c r="IZ69" s="4"/>
      <c r="JA69" s="4"/>
      <c r="JB69" s="4"/>
      <c r="JC69" s="4"/>
      <c r="JD69" s="4"/>
      <c r="JE69" s="4"/>
      <c r="JF69" s="10"/>
      <c r="JG69" s="10"/>
      <c r="JH69" s="10"/>
      <c r="JI69" s="4"/>
      <c r="JJ69" s="4"/>
      <c r="JK69" s="4"/>
      <c r="JL69" s="4"/>
      <c r="JM69" s="4"/>
      <c r="JN69" s="10"/>
      <c r="JO69" s="10"/>
      <c r="JP69" s="4"/>
      <c r="JQ69" s="4"/>
      <c r="JR69" s="4"/>
      <c r="JS69" s="4"/>
      <c r="JT69" s="4"/>
      <c r="JU69" s="10"/>
      <c r="JV69" s="4"/>
      <c r="JW69" s="4"/>
      <c r="JX69" s="4"/>
      <c r="JY69" s="4"/>
      <c r="JZ69" s="4"/>
      <c r="KA69" s="4"/>
      <c r="KB69" s="4"/>
      <c r="KC69" s="4"/>
      <c r="KD69" s="10"/>
      <c r="KE69" s="10"/>
      <c r="KF69" s="10"/>
      <c r="KG69" s="4"/>
      <c r="KH69" s="10"/>
      <c r="KI69" s="10"/>
      <c r="KJ69" s="10"/>
      <c r="KK69" s="10"/>
      <c r="KL69" s="4"/>
      <c r="KM69" s="10"/>
      <c r="KN69" s="4"/>
      <c r="KO69" s="4"/>
      <c r="KP69" s="4"/>
      <c r="KQ69" s="4"/>
      <c r="KR69" s="10"/>
      <c r="KS69" s="4"/>
      <c r="KT69" s="4"/>
      <c r="KU69" s="4"/>
      <c r="KV69" s="4"/>
      <c r="KW69" s="4"/>
      <c r="KX69" s="18"/>
      <c r="KY69" s="4"/>
      <c r="KZ69" s="77">
        <f t="shared" si="23"/>
        <v>8.6392590971398288E-6</v>
      </c>
      <c r="LA69" s="8">
        <f t="shared" si="62"/>
        <v>347255</v>
      </c>
      <c r="LB69" s="2"/>
      <c r="LC69" s="43"/>
      <c r="MO69" s="172"/>
      <c r="NO69" s="77"/>
      <c r="NP69" s="63"/>
      <c r="NQ69"/>
      <c r="NR69" s="77" t="e">
        <f t="shared" si="24"/>
        <v>#DIV/0!</v>
      </c>
      <c r="NS69" s="8">
        <f t="shared" si="42"/>
        <v>0</v>
      </c>
      <c r="NT69" s="2"/>
      <c r="NU69" s="40" t="s">
        <v>306</v>
      </c>
      <c r="NV69" s="4">
        <v>30147</v>
      </c>
      <c r="NW69" s="4"/>
      <c r="NX69" s="4"/>
      <c r="NY69" s="4"/>
      <c r="NZ69" s="4"/>
      <c r="OA69" s="4"/>
      <c r="OB69" s="4"/>
      <c r="OC69" s="4"/>
      <c r="OD69" s="4"/>
      <c r="OE69" s="77">
        <f t="shared" si="25"/>
        <v>0</v>
      </c>
      <c r="OF69" s="8">
        <f t="shared" si="43"/>
        <v>30147</v>
      </c>
      <c r="OG69" s="2"/>
      <c r="OH69" s="1" t="s">
        <v>306</v>
      </c>
      <c r="OI69" s="1">
        <v>33579</v>
      </c>
      <c r="OJ69" s="40"/>
      <c r="OK69" s="40"/>
      <c r="OL69" s="40"/>
      <c r="OM69" s="40"/>
      <c r="ON69" s="40"/>
      <c r="OO69" s="40"/>
      <c r="OQ69" s="40"/>
      <c r="OR69" s="77">
        <f t="shared" si="48"/>
        <v>0</v>
      </c>
      <c r="OS69" s="8">
        <f t="shared" si="49"/>
        <v>33579</v>
      </c>
      <c r="OT69" s="37"/>
      <c r="OU69" s="126">
        <f t="shared" si="50"/>
        <v>753301.26</v>
      </c>
      <c r="OV69" s="71">
        <f t="shared" si="44"/>
        <v>-9.4045785867108034E-3</v>
      </c>
      <c r="OW69" s="139">
        <f>IF(A69="","",SUM(Z$17:Z69))</f>
        <v>20000</v>
      </c>
      <c r="OX69" s="139">
        <f t="shared" si="52"/>
        <v>739722.26</v>
      </c>
      <c r="OY69" s="132">
        <f t="shared" si="53"/>
        <v>3.6622285377156893E-2</v>
      </c>
      <c r="OZ69" s="140">
        <f t="shared" si="34"/>
        <v>643273</v>
      </c>
      <c r="PA69" s="84">
        <f t="shared" si="47"/>
        <v>9.3273866061837466E-6</v>
      </c>
      <c r="PB69" s="130">
        <f>IF(A69="","",SUM(HB$17:HB69)+SUM(KY$17:KY69))</f>
        <v>113945.31</v>
      </c>
      <c r="PC69" s="131">
        <f t="shared" si="54"/>
        <v>757218.31</v>
      </c>
      <c r="PD69" s="132">
        <f t="shared" si="55"/>
        <v>0.14639551202762677</v>
      </c>
      <c r="PE69" s="133"/>
      <c r="PF69" s="134"/>
      <c r="PG69" s="133"/>
      <c r="PH69" s="134"/>
      <c r="PI69" s="135">
        <f t="shared" si="56"/>
        <v>1396574.26</v>
      </c>
      <c r="PJ69" s="136">
        <f t="shared" si="10"/>
        <v>-5.0905736186703833E-3</v>
      </c>
      <c r="PK69" s="123"/>
      <c r="PL69" s="137">
        <f t="shared" si="57"/>
        <v>133945.31</v>
      </c>
      <c r="PM69" s="9">
        <f t="shared" si="58"/>
        <v>1496940.57</v>
      </c>
      <c r="PN69" s="138">
        <f t="shared" si="59"/>
        <v>8.9389182816514007E-2</v>
      </c>
      <c r="PO69" s="86">
        <f>IF(PI69="","",MAX(PI$15:PI69))</f>
        <v>1539876</v>
      </c>
      <c r="PP69" s="113">
        <f t="shared" si="11"/>
        <v>-0.10260946668170727</v>
      </c>
      <c r="PQ69" s="41"/>
      <c r="PR69" s="302"/>
    </row>
    <row r="70" spans="1:434" s="1" customFormat="1" ht="15" customHeight="1" x14ac:dyDescent="0.45">
      <c r="A70" s="18">
        <v>44136</v>
      </c>
      <c r="B70" s="29" t="s">
        <v>306</v>
      </c>
      <c r="C70" s="4">
        <v>4614</v>
      </c>
      <c r="D70" s="10"/>
      <c r="E70" s="10"/>
      <c r="F70" s="10"/>
      <c r="G70" s="4">
        <v>47198</v>
      </c>
      <c r="H70" s="4"/>
      <c r="I70" s="4"/>
      <c r="J70" s="4"/>
      <c r="K70" s="4"/>
      <c r="L70" s="4"/>
      <c r="M70" s="4"/>
      <c r="N70" s="4"/>
      <c r="O70" s="10"/>
      <c r="P70" s="4"/>
      <c r="Q70" s="4"/>
      <c r="R70" s="4"/>
      <c r="S70" s="4"/>
      <c r="T70" s="4"/>
      <c r="U70" s="10"/>
      <c r="V70" s="10"/>
      <c r="W70" s="10"/>
      <c r="X70" s="4"/>
      <c r="Y70" s="18" t="str">
        <f t="shared" si="63"/>
        <v/>
      </c>
      <c r="Z70" s="4"/>
      <c r="AA70" s="77">
        <f t="shared" si="21"/>
        <v>-2.718982408418683E-3</v>
      </c>
      <c r="AB70" s="8">
        <f t="shared" si="60"/>
        <v>51812</v>
      </c>
      <c r="AC70" s="2"/>
      <c r="AD70" s="3" t="s">
        <v>306</v>
      </c>
      <c r="AE70" s="4">
        <v>265727</v>
      </c>
      <c r="AF70" s="4">
        <v>284756</v>
      </c>
      <c r="AG70" s="4"/>
      <c r="AH70" s="4"/>
      <c r="AJ70" s="4"/>
      <c r="AK70" s="4"/>
      <c r="AL70" s="4"/>
      <c r="AM70" s="4"/>
      <c r="AO70" s="4"/>
      <c r="AP70" s="10"/>
      <c r="AQ70" s="4"/>
      <c r="AR70" s="4"/>
      <c r="AS70" s="4"/>
      <c r="AT70" s="4">
        <v>24512</v>
      </c>
      <c r="AU70" s="4"/>
      <c r="AW70" s="4"/>
      <c r="AX70" s="4"/>
      <c r="AY70" s="4"/>
      <c r="AZ70" s="4"/>
      <c r="BA70" s="4"/>
      <c r="BB70" s="4"/>
      <c r="BC70" s="4"/>
      <c r="BD70" s="4"/>
      <c r="BE70" s="4"/>
      <c r="BF70" s="4"/>
      <c r="BH70" s="4"/>
      <c r="BI70" s="4"/>
      <c r="BJ70" s="4"/>
      <c r="BK70" s="4"/>
      <c r="BL70" s="4"/>
      <c r="BM70" s="4"/>
      <c r="BN70" s="4"/>
      <c r="BO70" s="4"/>
      <c r="BP70" s="4"/>
      <c r="BQ70" s="4"/>
      <c r="BS70" s="10"/>
      <c r="BT70" s="4"/>
      <c r="BU70" s="4"/>
      <c r="BV70" s="4">
        <v>22866</v>
      </c>
      <c r="BW70" s="4"/>
      <c r="CA70" s="4"/>
      <c r="CB70" s="4"/>
      <c r="CC70" s="4">
        <v>18161</v>
      </c>
      <c r="CD70" s="4"/>
      <c r="CE70" s="4"/>
      <c r="CF70" s="4">
        <v>22618</v>
      </c>
      <c r="CG70" s="4"/>
      <c r="CH70" s="4"/>
      <c r="CI70" s="4"/>
      <c r="CJ70" s="10"/>
      <c r="CK70" s="4"/>
      <c r="CL70" s="10"/>
      <c r="CN70" s="4"/>
      <c r="CO70" s="10"/>
      <c r="CP70" s="4"/>
      <c r="CQ70" s="4"/>
      <c r="CR70" s="10"/>
      <c r="CS70" s="4"/>
      <c r="CT70" s="4"/>
      <c r="CU70" s="4"/>
      <c r="CV70" s="4"/>
      <c r="CW70" s="4"/>
      <c r="CX70" s="4"/>
      <c r="CY70" s="77">
        <f t="shared" si="46"/>
        <v>1.5965572078755123E-3</v>
      </c>
      <c r="CZ70" s="8">
        <f t="shared" si="61"/>
        <v>638640</v>
      </c>
      <c r="DA70" s="2"/>
      <c r="DH70" s="4"/>
      <c r="DJ70" s="4"/>
      <c r="DX70" s="2"/>
      <c r="DY70" s="32"/>
      <c r="DZ70" s="4">
        <v>30148</v>
      </c>
      <c r="EA70" s="32"/>
      <c r="EB70" s="32"/>
      <c r="EC70" s="32"/>
      <c r="ED70" s="32"/>
      <c r="EE70" s="4"/>
      <c r="EF70" s="4"/>
      <c r="EG70" s="32"/>
      <c r="EH70" s="32"/>
      <c r="EI70" s="32"/>
      <c r="EJ70" s="32"/>
      <c r="EK70" s="5"/>
      <c r="EO70" s="2"/>
      <c r="EQ70" s="468" t="s">
        <v>1</v>
      </c>
      <c r="ER70"/>
      <c r="ES70" s="3" t="s">
        <v>306</v>
      </c>
      <c r="ET70" s="10"/>
      <c r="EU70" s="10"/>
      <c r="EV70" s="10"/>
      <c r="EW70" s="10"/>
      <c r="EX70" s="4">
        <v>296759</v>
      </c>
      <c r="EY70" s="4"/>
      <c r="EZ70" s="4"/>
      <c r="FA70" s="4"/>
      <c r="FB70" s="4"/>
      <c r="FC70" s="4"/>
      <c r="FD70" s="4"/>
      <c r="FE70" s="4"/>
      <c r="FF70" s="4"/>
      <c r="FG70" s="4"/>
      <c r="FH70" s="10"/>
      <c r="FI70" s="10"/>
      <c r="FJ70" s="10"/>
      <c r="FK70" s="10"/>
      <c r="FL70" s="10"/>
      <c r="FM70" s="10"/>
      <c r="FN70" s="4"/>
      <c r="FO70" s="4"/>
      <c r="FP70" s="10"/>
      <c r="FQ70" s="4"/>
      <c r="FR70" s="4"/>
      <c r="FS70" s="10"/>
      <c r="FT70" s="4"/>
      <c r="FU70" s="4"/>
      <c r="FV70" s="4"/>
      <c r="FW70" s="4"/>
      <c r="FX70" s="4"/>
      <c r="FY70" s="4"/>
      <c r="FZ70" s="10"/>
      <c r="GA70" s="10"/>
      <c r="GB70" s="10"/>
      <c r="GC70" s="10"/>
      <c r="GD70" s="4"/>
      <c r="GE70" s="4"/>
      <c r="GF70" s="4"/>
      <c r="GG70" s="4"/>
      <c r="GH70" s="4"/>
      <c r="GI70" s="4"/>
      <c r="GJ70" s="4"/>
      <c r="GK70" s="4"/>
      <c r="GL70" s="4"/>
      <c r="GM70" s="4"/>
      <c r="GN70" s="10"/>
      <c r="GO70" s="10"/>
      <c r="GP70" s="4"/>
      <c r="GQ70" s="10"/>
      <c r="GR70" s="4"/>
      <c r="GS70" s="10"/>
      <c r="GT70" s="4"/>
      <c r="GU70" s="10"/>
      <c r="GV70" s="4"/>
      <c r="GW70" s="10"/>
      <c r="GX70" s="10"/>
      <c r="GY70" s="10"/>
      <c r="GZ70" s="10"/>
      <c r="HA70" s="18"/>
      <c r="HB70" s="4"/>
      <c r="HC70" s="77">
        <f t="shared" si="22"/>
        <v>2.50322615516624E-3</v>
      </c>
      <c r="HD70" s="8">
        <f t="shared" si="51"/>
        <v>296759</v>
      </c>
      <c r="HE70" s="2"/>
      <c r="HF70" s="3" t="s">
        <v>306</v>
      </c>
      <c r="HG70" s="4">
        <v>348127</v>
      </c>
      <c r="HH70" s="4"/>
      <c r="HI70" s="4"/>
      <c r="HJ70" s="4"/>
      <c r="HK70" s="4"/>
      <c r="HL70" s="4"/>
      <c r="HM70" s="4"/>
      <c r="HN70" s="4"/>
      <c r="HO70" s="4"/>
      <c r="HP70" s="4"/>
      <c r="HQ70" s="4"/>
      <c r="HR70" s="4"/>
      <c r="HS70" s="4"/>
      <c r="HT70" s="10"/>
      <c r="HU70" s="10"/>
      <c r="HV70" s="4"/>
      <c r="HW70" s="4"/>
      <c r="HX70" s="4"/>
      <c r="HY70" s="4"/>
      <c r="HZ70" s="4"/>
      <c r="IA70" s="4"/>
      <c r="IB70" s="4"/>
      <c r="IC70" s="4"/>
      <c r="ID70" s="10"/>
      <c r="IE70" s="4"/>
      <c r="IF70" s="10"/>
      <c r="IG70" s="4"/>
      <c r="IH70" s="4"/>
      <c r="II70" s="4"/>
      <c r="IJ70" s="4"/>
      <c r="IK70" s="4"/>
      <c r="IL70" s="4"/>
      <c r="IM70" s="4"/>
      <c r="IN70" s="4"/>
      <c r="IO70" s="4"/>
      <c r="IP70" s="4"/>
      <c r="IQ70" s="4"/>
      <c r="IR70" s="4"/>
      <c r="IS70" s="4"/>
      <c r="IT70" s="10"/>
      <c r="IU70" s="4"/>
      <c r="IV70" s="4"/>
      <c r="IW70" s="4"/>
      <c r="IX70" s="10"/>
      <c r="IY70" s="4"/>
      <c r="IZ70" s="4"/>
      <c r="JA70" s="4"/>
      <c r="JB70" s="4"/>
      <c r="JC70" s="4"/>
      <c r="JD70" s="4"/>
      <c r="JE70" s="4"/>
      <c r="JF70" s="10"/>
      <c r="JG70" s="10"/>
      <c r="JH70" s="10"/>
      <c r="JI70" s="4"/>
      <c r="JJ70" s="4"/>
      <c r="JK70" s="4"/>
      <c r="JL70" s="4"/>
      <c r="JM70" s="4"/>
      <c r="JN70" s="10"/>
      <c r="JO70" s="10"/>
      <c r="JP70" s="4"/>
      <c r="JQ70" s="4"/>
      <c r="JR70" s="4"/>
      <c r="JS70" s="4"/>
      <c r="JT70" s="4"/>
      <c r="JU70" s="10"/>
      <c r="JV70" s="4"/>
      <c r="JW70" s="4"/>
      <c r="JX70" s="4"/>
      <c r="JY70" s="4"/>
      <c r="JZ70" s="4"/>
      <c r="KA70" s="4"/>
      <c r="KB70" s="4"/>
      <c r="KC70" s="4"/>
      <c r="KD70" s="10"/>
      <c r="KE70" s="10"/>
      <c r="KF70" s="10"/>
      <c r="KG70" s="4"/>
      <c r="KH70" s="10"/>
      <c r="KI70" s="10"/>
      <c r="KJ70" s="10"/>
      <c r="KK70" s="10"/>
      <c r="KL70" s="4"/>
      <c r="KM70" s="10"/>
      <c r="KN70" s="4"/>
      <c r="KO70" s="4"/>
      <c r="KP70" s="4"/>
      <c r="KQ70" s="4"/>
      <c r="KR70" s="10"/>
      <c r="KS70" s="4"/>
      <c r="KT70" s="4"/>
      <c r="KU70" s="4"/>
      <c r="KV70" s="4"/>
      <c r="KW70" s="4"/>
      <c r="KX70" s="18"/>
      <c r="KY70" s="4"/>
      <c r="KZ70" s="77">
        <f t="shared" si="23"/>
        <v>2.5111229499935207E-3</v>
      </c>
      <c r="LA70" s="8">
        <f t="shared" si="62"/>
        <v>348127</v>
      </c>
      <c r="LB70" s="2"/>
      <c r="LC70" s="43"/>
      <c r="MO70" s="172"/>
      <c r="NO70" s="77"/>
      <c r="NP70" s="63"/>
      <c r="NQ70"/>
      <c r="NR70" s="77" t="e">
        <f t="shared" si="24"/>
        <v>#DIV/0!</v>
      </c>
      <c r="NS70" s="8">
        <f t="shared" si="42"/>
        <v>0</v>
      </c>
      <c r="NT70" s="2"/>
      <c r="NU70" s="40" t="s">
        <v>306</v>
      </c>
      <c r="NV70" s="4">
        <v>30148</v>
      </c>
      <c r="NW70" s="4"/>
      <c r="NX70" s="4"/>
      <c r="NY70" s="4"/>
      <c r="NZ70" s="4"/>
      <c r="OA70" s="4"/>
      <c r="OB70" s="4"/>
      <c r="OC70" s="4"/>
      <c r="OD70" s="4"/>
      <c r="OE70" s="77">
        <f t="shared" si="25"/>
        <v>3.3170796430822302E-5</v>
      </c>
      <c r="OF70" s="8">
        <f t="shared" si="43"/>
        <v>30148</v>
      </c>
      <c r="OG70" s="2"/>
      <c r="OH70" s="1" t="s">
        <v>306</v>
      </c>
      <c r="OI70" s="1">
        <v>33579</v>
      </c>
      <c r="OJ70" s="40"/>
      <c r="OK70" s="40"/>
      <c r="OL70" s="40"/>
      <c r="OM70" s="40"/>
      <c r="ON70" s="40"/>
      <c r="OO70" s="40"/>
      <c r="OQ70" s="40"/>
      <c r="OR70" s="77">
        <f t="shared" si="48"/>
        <v>0</v>
      </c>
      <c r="OS70" s="8">
        <f t="shared" si="49"/>
        <v>33579</v>
      </c>
      <c r="OT70" s="37"/>
      <c r="OU70" s="126">
        <f t="shared" si="50"/>
        <v>754179</v>
      </c>
      <c r="OV70" s="71">
        <f t="shared" si="44"/>
        <v>1.1651912011935181E-3</v>
      </c>
      <c r="OW70" s="139">
        <f>IF(A70="","",SUM(Z$17:Z70))</f>
        <v>20000</v>
      </c>
      <c r="OX70" s="139">
        <f t="shared" si="52"/>
        <v>740600</v>
      </c>
      <c r="OY70" s="132">
        <f t="shared" si="53"/>
        <v>3.7852321154053667E-2</v>
      </c>
      <c r="OZ70" s="140">
        <f t="shared" si="34"/>
        <v>644886</v>
      </c>
      <c r="PA70" s="84">
        <f t="shared" si="47"/>
        <v>2.5074890443093369E-3</v>
      </c>
      <c r="PB70" s="130">
        <f>IF(A70="","",SUM(HB$17:HB70)+SUM(KY$17:KY70))</f>
        <v>113945.31</v>
      </c>
      <c r="PC70" s="131">
        <f t="shared" si="54"/>
        <v>758831.31</v>
      </c>
      <c r="PD70" s="132">
        <f t="shared" si="55"/>
        <v>0.14883752371234232</v>
      </c>
      <c r="PE70" s="133"/>
      <c r="PF70" s="134"/>
      <c r="PG70" s="133"/>
      <c r="PH70" s="134"/>
      <c r="PI70" s="135">
        <f t="shared" si="56"/>
        <v>1399065</v>
      </c>
      <c r="PJ70" s="136">
        <f t="shared" si="10"/>
        <v>1.7834640601209352E-3</v>
      </c>
      <c r="PK70" s="123"/>
      <c r="PL70" s="137">
        <f t="shared" si="57"/>
        <v>133945.31</v>
      </c>
      <c r="PM70" s="9">
        <f t="shared" si="58"/>
        <v>1499431.31</v>
      </c>
      <c r="PN70" s="138">
        <f t="shared" si="59"/>
        <v>9.1201803349076904E-2</v>
      </c>
      <c r="PO70" s="86">
        <f>IF(PI70="","",MAX(PI$15:PI70))</f>
        <v>1539876</v>
      </c>
      <c r="PP70" s="113">
        <f t="shared" si="11"/>
        <v>-0.10064650320035166</v>
      </c>
      <c r="PQ70" s="41"/>
      <c r="PR70" s="302"/>
    </row>
    <row r="71" spans="1:434" s="1" customFormat="1" ht="15" customHeight="1" x14ac:dyDescent="0.45">
      <c r="A71" s="18">
        <v>44167</v>
      </c>
      <c r="B71" s="29" t="s">
        <v>306</v>
      </c>
      <c r="C71" s="4">
        <v>4695</v>
      </c>
      <c r="D71" s="10"/>
      <c r="E71" s="10"/>
      <c r="F71" s="10"/>
      <c r="G71" s="4">
        <v>47836</v>
      </c>
      <c r="H71" s="4"/>
      <c r="I71" s="4">
        <v>22016</v>
      </c>
      <c r="J71" s="4">
        <v>17928</v>
      </c>
      <c r="K71" s="4">
        <v>18486</v>
      </c>
      <c r="L71" s="4">
        <v>21130</v>
      </c>
      <c r="M71" s="4">
        <v>17159</v>
      </c>
      <c r="N71" s="4"/>
      <c r="O71" s="10"/>
      <c r="P71" s="4"/>
      <c r="Q71" s="4"/>
      <c r="R71" s="4"/>
      <c r="S71" s="4"/>
      <c r="T71" s="4"/>
      <c r="U71" s="10"/>
      <c r="V71" s="10"/>
      <c r="W71" s="10"/>
      <c r="X71" s="4"/>
      <c r="Y71" s="18"/>
      <c r="Z71" s="4"/>
      <c r="AA71" s="77">
        <f t="shared" si="21"/>
        <v>1.8806068092333823</v>
      </c>
      <c r="AB71" s="8">
        <f t="shared" si="60"/>
        <v>149250</v>
      </c>
      <c r="AC71" s="2"/>
      <c r="AD71" s="3" t="s">
        <v>363</v>
      </c>
      <c r="AE71" s="4">
        <v>48563</v>
      </c>
      <c r="AF71" s="4">
        <v>284359</v>
      </c>
      <c r="AG71" s="4"/>
      <c r="AH71" s="4"/>
      <c r="AJ71" s="4"/>
      <c r="AK71" s="4"/>
      <c r="AL71" s="4">
        <v>17125</v>
      </c>
      <c r="AM71" s="4"/>
      <c r="AO71" s="4"/>
      <c r="AP71" s="10"/>
      <c r="AQ71" s="4"/>
      <c r="AR71" s="4"/>
      <c r="AS71" s="4">
        <v>31150</v>
      </c>
      <c r="AT71" s="4">
        <v>32440</v>
      </c>
      <c r="AU71" s="4"/>
      <c r="AW71" s="4"/>
      <c r="AX71" s="4"/>
      <c r="AY71" s="4">
        <v>64926</v>
      </c>
      <c r="AZ71" s="4"/>
      <c r="BA71" s="4"/>
      <c r="BB71" s="4"/>
      <c r="BC71" s="4"/>
      <c r="BD71" s="4"/>
      <c r="BE71" s="4">
        <v>18034</v>
      </c>
      <c r="BF71" s="4"/>
      <c r="BH71" s="4"/>
      <c r="BI71" s="4"/>
      <c r="BJ71" s="4">
        <v>16261</v>
      </c>
      <c r="BK71" s="4"/>
      <c r="BL71" s="4">
        <v>26907</v>
      </c>
      <c r="BM71" s="4"/>
      <c r="BN71" s="4"/>
      <c r="BO71" s="4"/>
      <c r="BP71" s="4"/>
      <c r="BQ71" s="4"/>
      <c r="BS71" s="10"/>
      <c r="BT71" s="4"/>
      <c r="BU71" s="4"/>
      <c r="BV71" s="4">
        <v>31762</v>
      </c>
      <c r="BW71" s="4"/>
      <c r="CA71" s="4"/>
      <c r="CB71" s="4"/>
      <c r="CC71" s="4">
        <v>18506</v>
      </c>
      <c r="CD71" s="4">
        <v>95000</v>
      </c>
      <c r="CE71" s="4"/>
      <c r="CF71" s="4">
        <v>30820</v>
      </c>
      <c r="CG71" s="4"/>
      <c r="CH71" s="4">
        <v>13875</v>
      </c>
      <c r="CI71" s="4"/>
      <c r="CJ71" s="10"/>
      <c r="CK71" s="4"/>
      <c r="CL71" s="10"/>
      <c r="CN71" s="4"/>
      <c r="CO71" s="10"/>
      <c r="CP71" s="4"/>
      <c r="CQ71" s="4">
        <v>12733</v>
      </c>
      <c r="CR71" s="10"/>
      <c r="CS71" s="4"/>
      <c r="CT71" s="4"/>
      <c r="CU71" s="4">
        <v>14220</v>
      </c>
      <c r="CV71" s="4"/>
      <c r="CW71" s="4"/>
      <c r="CX71" s="4"/>
      <c r="CY71" s="77">
        <f t="shared" si="46"/>
        <v>0.18483183013904547</v>
      </c>
      <c r="CZ71" s="8">
        <f t="shared" si="61"/>
        <v>756681</v>
      </c>
      <c r="DA71" s="2"/>
      <c r="DH71" s="4"/>
      <c r="DJ71" s="4"/>
      <c r="DX71" s="2"/>
      <c r="DY71" s="32"/>
      <c r="DZ71" s="4">
        <v>148</v>
      </c>
      <c r="EA71" s="32"/>
      <c r="EB71" s="32"/>
      <c r="EC71" s="32"/>
      <c r="ED71" s="32"/>
      <c r="EE71" s="4"/>
      <c r="EF71" s="4"/>
      <c r="EG71" s="32"/>
      <c r="EH71" s="32"/>
      <c r="EI71" s="32"/>
      <c r="EJ71" s="32"/>
      <c r="EK71" s="5"/>
      <c r="EO71" s="2"/>
      <c r="EQ71" s="468" t="s">
        <v>1</v>
      </c>
      <c r="ER71"/>
      <c r="ES71" s="6" t="s">
        <v>364</v>
      </c>
      <c r="ET71" s="10"/>
      <c r="EU71" s="10"/>
      <c r="EV71" s="10"/>
      <c r="EW71" s="10"/>
      <c r="EX71" s="4">
        <f>4722-427.4</f>
        <v>4294.6000000000004</v>
      </c>
      <c r="EY71" s="4"/>
      <c r="EZ71" s="4"/>
      <c r="FA71" s="4"/>
      <c r="FB71" s="4"/>
      <c r="FC71" s="4">
        <v>16081</v>
      </c>
      <c r="FD71" s="4"/>
      <c r="FE71" s="4"/>
      <c r="FF71" s="4"/>
      <c r="FG71" s="4">
        <v>17267</v>
      </c>
      <c r="FH71" s="10"/>
      <c r="FI71" s="10"/>
      <c r="FJ71" s="10"/>
      <c r="FK71" s="10"/>
      <c r="FL71" s="10"/>
      <c r="FM71" s="10"/>
      <c r="FN71" s="4"/>
      <c r="FO71" s="4">
        <v>17130</v>
      </c>
      <c r="FP71" s="10"/>
      <c r="FQ71" s="4">
        <v>18238</v>
      </c>
      <c r="FR71" s="4"/>
      <c r="FS71" s="10"/>
      <c r="FT71" s="4">
        <v>22016</v>
      </c>
      <c r="FU71" s="4">
        <v>17928</v>
      </c>
      <c r="FV71" s="4">
        <v>18576</v>
      </c>
      <c r="FW71" s="4">
        <v>18486</v>
      </c>
      <c r="FX71" s="4">
        <v>7067</v>
      </c>
      <c r="FY71" s="4">
        <v>21130</v>
      </c>
      <c r="FZ71" s="10"/>
      <c r="GA71" s="10"/>
      <c r="GB71" s="10"/>
      <c r="GC71" s="10"/>
      <c r="GD71" s="4">
        <v>17159</v>
      </c>
      <c r="GE71" s="4">
        <v>16797</v>
      </c>
      <c r="GF71" s="4">
        <v>17622</v>
      </c>
      <c r="GG71" s="4"/>
      <c r="GH71" s="4">
        <v>18118</v>
      </c>
      <c r="GI71" s="4"/>
      <c r="GJ71" s="4">
        <v>19478</v>
      </c>
      <c r="GK71" s="4"/>
      <c r="GL71" s="4"/>
      <c r="GM71" s="4"/>
      <c r="GN71" s="10"/>
      <c r="GO71" s="10"/>
      <c r="GP71" s="4"/>
      <c r="GQ71" s="10"/>
      <c r="GR71" s="4">
        <v>18289</v>
      </c>
      <c r="GS71" s="10"/>
      <c r="GT71" s="4"/>
      <c r="GU71" s="10"/>
      <c r="GV71" s="4"/>
      <c r="GW71" s="10"/>
      <c r="GX71" s="10">
        <v>18400</v>
      </c>
      <c r="GY71" s="10"/>
      <c r="GZ71" s="10"/>
      <c r="HA71" s="18"/>
      <c r="HB71" s="4"/>
      <c r="HC71" s="77">
        <f t="shared" si="22"/>
        <v>2.4658392837285395E-2</v>
      </c>
      <c r="HD71" s="8">
        <f t="shared" si="51"/>
        <v>304076.59999999998</v>
      </c>
      <c r="HE71" s="2"/>
      <c r="HF71" s="6" t="s">
        <v>365</v>
      </c>
      <c r="HG71" s="4">
        <f>12600-501.38</f>
        <v>12098.62</v>
      </c>
      <c r="HH71" s="4"/>
      <c r="HI71" s="4"/>
      <c r="HJ71" s="4"/>
      <c r="HK71" s="4">
        <v>12576</v>
      </c>
      <c r="HL71" s="4"/>
      <c r="HM71" s="4"/>
      <c r="HN71" s="4">
        <v>17125</v>
      </c>
      <c r="HO71" s="4">
        <v>17376</v>
      </c>
      <c r="HP71" s="4"/>
      <c r="HQ71" s="4"/>
      <c r="HR71" s="4"/>
      <c r="HS71" s="4"/>
      <c r="HT71" s="10"/>
      <c r="HU71" s="10"/>
      <c r="HV71" s="4"/>
      <c r="HW71" s="4"/>
      <c r="HX71" s="4"/>
      <c r="HY71" s="4"/>
      <c r="HZ71" s="4">
        <v>18792</v>
      </c>
      <c r="IA71" s="4">
        <v>17607</v>
      </c>
      <c r="IB71" s="4"/>
      <c r="IC71" s="4">
        <v>16872</v>
      </c>
      <c r="ID71" s="10"/>
      <c r="IE71" s="4">
        <v>16063</v>
      </c>
      <c r="IF71" s="10"/>
      <c r="IG71" s="4"/>
      <c r="IH71" s="4"/>
      <c r="II71" s="4"/>
      <c r="IJ71" s="4"/>
      <c r="IK71" s="4"/>
      <c r="IL71" s="4"/>
      <c r="IM71" s="4">
        <v>18034</v>
      </c>
      <c r="IN71" s="4"/>
      <c r="IO71" s="4"/>
      <c r="IP71" s="4">
        <v>16261</v>
      </c>
      <c r="IQ71" s="4"/>
      <c r="IR71" s="4"/>
      <c r="IS71" s="4"/>
      <c r="IT71" s="10"/>
      <c r="IU71" s="4"/>
      <c r="IV71" s="4"/>
      <c r="IW71" s="4">
        <v>17795</v>
      </c>
      <c r="IX71" s="10"/>
      <c r="IY71" s="4">
        <v>14035</v>
      </c>
      <c r="IZ71" s="4"/>
      <c r="JA71" s="4"/>
      <c r="JB71" s="4"/>
      <c r="JC71" s="4"/>
      <c r="JD71" s="4"/>
      <c r="JE71" s="4"/>
      <c r="JF71" s="10"/>
      <c r="JG71" s="10"/>
      <c r="JH71" s="10"/>
      <c r="JI71" s="4"/>
      <c r="JJ71" s="4"/>
      <c r="JK71" s="4">
        <v>15427</v>
      </c>
      <c r="JL71" s="4">
        <v>17189</v>
      </c>
      <c r="JM71" s="4"/>
      <c r="JN71" s="10"/>
      <c r="JO71" s="10"/>
      <c r="JP71" s="4"/>
      <c r="JQ71" s="4"/>
      <c r="JR71" s="4"/>
      <c r="JS71" s="4">
        <v>15353</v>
      </c>
      <c r="JT71" s="4">
        <v>14844</v>
      </c>
      <c r="JU71" s="10"/>
      <c r="JV71" s="4"/>
      <c r="JW71" s="4"/>
      <c r="JX71" s="4">
        <v>13875</v>
      </c>
      <c r="JY71" s="4"/>
      <c r="JZ71" s="4">
        <v>15036</v>
      </c>
      <c r="KA71" s="4"/>
      <c r="KB71" s="4"/>
      <c r="KC71" s="4">
        <v>16754</v>
      </c>
      <c r="KD71" s="10"/>
      <c r="KE71" s="10"/>
      <c r="KF71" s="10"/>
      <c r="KG71" s="4"/>
      <c r="KH71" s="10"/>
      <c r="KI71" s="10"/>
      <c r="KJ71" s="10"/>
      <c r="KK71" s="10"/>
      <c r="KL71" s="4">
        <v>12733</v>
      </c>
      <c r="KM71" s="10"/>
      <c r="KN71" s="4"/>
      <c r="KO71" s="4"/>
      <c r="KP71" s="4">
        <v>14220</v>
      </c>
      <c r="KQ71" s="4"/>
      <c r="KR71" s="10">
        <v>5687</v>
      </c>
      <c r="KS71" s="4">
        <v>17766</v>
      </c>
      <c r="KT71" s="4"/>
      <c r="KU71" s="4"/>
      <c r="KV71" s="4"/>
      <c r="KW71" s="4"/>
      <c r="KX71" s="18"/>
      <c r="KY71" s="4"/>
      <c r="KZ71" s="77">
        <f t="shared" si="23"/>
        <v>1.5487508868889789E-2</v>
      </c>
      <c r="LA71" s="8">
        <f t="shared" si="62"/>
        <v>353518.62</v>
      </c>
      <c r="LB71" s="2"/>
      <c r="LC71" s="43"/>
      <c r="MO71" s="172"/>
      <c r="NO71" s="77"/>
      <c r="NP71" s="63"/>
      <c r="NQ71"/>
      <c r="NR71" s="77" t="e">
        <f t="shared" si="24"/>
        <v>#DIV/0!</v>
      </c>
      <c r="NS71" s="8">
        <f t="shared" si="42"/>
        <v>0</v>
      </c>
      <c r="NT71" s="2"/>
      <c r="NU71" s="41" t="s">
        <v>366</v>
      </c>
      <c r="NV71" s="4">
        <v>148</v>
      </c>
      <c r="NW71" s="4"/>
      <c r="NX71" s="4"/>
      <c r="NY71" s="4">
        <v>29966</v>
      </c>
      <c r="NZ71" s="4"/>
      <c r="OA71" s="4"/>
      <c r="OB71" s="4"/>
      <c r="OC71" s="4"/>
      <c r="OD71" s="4"/>
      <c r="OE71" s="77">
        <f t="shared" si="25"/>
        <v>-1.1277696696298262E-3</v>
      </c>
      <c r="OF71" s="8">
        <f t="shared" si="43"/>
        <v>30114</v>
      </c>
      <c r="OG71" s="2"/>
      <c r="OH71" s="1" t="s">
        <v>306</v>
      </c>
      <c r="OI71" s="1">
        <v>33580</v>
      </c>
      <c r="OJ71" s="40"/>
      <c r="OK71" s="40"/>
      <c r="OL71" s="40"/>
      <c r="OM71" s="40"/>
      <c r="ON71" s="40"/>
      <c r="OO71" s="40"/>
      <c r="OQ71" s="40"/>
      <c r="OR71" s="77">
        <f t="shared" si="48"/>
        <v>2.9780517585395634E-5</v>
      </c>
      <c r="OS71" s="8">
        <f t="shared" si="49"/>
        <v>33580</v>
      </c>
      <c r="OT71" s="37"/>
      <c r="OU71" s="126">
        <f t="shared" si="50"/>
        <v>969625</v>
      </c>
      <c r="OV71" s="71">
        <f t="shared" si="44"/>
        <v>0.28566958242008861</v>
      </c>
      <c r="OW71" s="139">
        <f>IF(A71="","",SUM(Z$17:Z71))</f>
        <v>20000</v>
      </c>
      <c r="OX71" s="139">
        <f t="shared" si="52"/>
        <v>956045</v>
      </c>
      <c r="OY71" s="132">
        <f t="shared" si="53"/>
        <v>0.33976981147411184</v>
      </c>
      <c r="OZ71" s="140">
        <f t="shared" si="34"/>
        <v>657595.22</v>
      </c>
      <c r="PA71" s="84">
        <f t="shared" si="47"/>
        <v>1.9707700275707601E-2</v>
      </c>
      <c r="PB71" s="130">
        <f>IF(A71="","",SUM(HB$17:HB71)+SUM(KY$17:KY71))</f>
        <v>113945.31</v>
      </c>
      <c r="PC71" s="131">
        <f t="shared" si="54"/>
        <v>771540.53</v>
      </c>
      <c r="PD71" s="132">
        <f t="shared" si="55"/>
        <v>0.1680787287610841</v>
      </c>
      <c r="PE71" s="133"/>
      <c r="PF71" s="134"/>
      <c r="PG71" s="133"/>
      <c r="PH71" s="134"/>
      <c r="PI71" s="135">
        <f t="shared" si="56"/>
        <v>1627220.22</v>
      </c>
      <c r="PJ71" s="136">
        <f t="shared" si="10"/>
        <v>0.16307692637582955</v>
      </c>
      <c r="PK71" s="123"/>
      <c r="PL71" s="137">
        <f t="shared" si="57"/>
        <v>133945.31</v>
      </c>
      <c r="PM71" s="9">
        <f t="shared" si="58"/>
        <v>1727585.53</v>
      </c>
      <c r="PN71" s="138">
        <f t="shared" si="59"/>
        <v>0.25723961691567637</v>
      </c>
      <c r="PO71" s="86">
        <f>IF(PI71="","",MAX(PI$15:PI71))</f>
        <v>1627220.22</v>
      </c>
      <c r="PP71" s="113">
        <f t="shared" si="11"/>
        <v>0</v>
      </c>
      <c r="PQ71" s="41"/>
      <c r="PR71" s="302"/>
    </row>
    <row r="72" spans="1:434" s="1" customFormat="1" ht="15" customHeight="1" x14ac:dyDescent="0.45">
      <c r="A72" s="18">
        <v>44198</v>
      </c>
      <c r="B72" s="29" t="s">
        <v>306</v>
      </c>
      <c r="C72" s="4">
        <v>4838</v>
      </c>
      <c r="D72" s="10"/>
      <c r="E72" s="10"/>
      <c r="F72" s="10"/>
      <c r="G72" s="4">
        <v>48090</v>
      </c>
      <c r="H72" s="4"/>
      <c r="I72" s="4">
        <v>22454</v>
      </c>
      <c r="J72" s="4">
        <v>18612</v>
      </c>
      <c r="K72" s="4">
        <v>19759</v>
      </c>
      <c r="L72" s="4">
        <v>22237</v>
      </c>
      <c r="M72" s="4">
        <v>17794</v>
      </c>
      <c r="N72" s="4"/>
      <c r="O72" s="10"/>
      <c r="P72" s="4"/>
      <c r="Q72" s="4"/>
      <c r="R72" s="4"/>
      <c r="S72" s="4"/>
      <c r="T72" s="4"/>
      <c r="U72" s="10"/>
      <c r="V72" s="10"/>
      <c r="W72" s="10"/>
      <c r="X72" s="4"/>
      <c r="Y72" s="18" t="str">
        <f t="shared" ref="Y72:Y109" si="64">IF(HA72="","",HA72)</f>
        <v/>
      </c>
      <c r="Z72" s="4"/>
      <c r="AA72" s="77">
        <f t="shared" si="21"/>
        <v>3.0378559463986599E-2</v>
      </c>
      <c r="AB72" s="8">
        <f t="shared" si="60"/>
        <v>153784</v>
      </c>
      <c r="AC72" s="2"/>
      <c r="AD72" s="3" t="s">
        <v>306</v>
      </c>
      <c r="AE72" s="4">
        <v>48563</v>
      </c>
      <c r="AF72" s="4">
        <f>671616-AE72-AS72-AT72-AY72-BL72-BV72-CC72-CD72-CF72</f>
        <v>284613</v>
      </c>
      <c r="AG72" s="4"/>
      <c r="AH72" s="4"/>
      <c r="AJ72" s="4"/>
      <c r="AK72" s="4"/>
      <c r="AL72" s="4">
        <v>17782</v>
      </c>
      <c r="AM72" s="4"/>
      <c r="AO72" s="4"/>
      <c r="AP72" s="10"/>
      <c r="AQ72" s="4"/>
      <c r="AR72" s="4"/>
      <c r="AS72" s="4">
        <v>33540</v>
      </c>
      <c r="AT72" s="4">
        <v>32168</v>
      </c>
      <c r="AU72" s="4"/>
      <c r="AW72" s="4"/>
      <c r="AX72" s="4"/>
      <c r="AY72" s="4">
        <v>65057</v>
      </c>
      <c r="AZ72" s="4"/>
      <c r="BA72" s="4"/>
      <c r="BB72" s="4"/>
      <c r="BC72" s="4"/>
      <c r="BD72" s="4"/>
      <c r="BE72" s="4">
        <v>17526</v>
      </c>
      <c r="BF72" s="4"/>
      <c r="BH72" s="4"/>
      <c r="BI72" s="4"/>
      <c r="BJ72" s="4">
        <v>15937</v>
      </c>
      <c r="BK72" s="4"/>
      <c r="BL72" s="4">
        <v>29954</v>
      </c>
      <c r="BM72" s="4"/>
      <c r="BN72" s="4"/>
      <c r="BO72" s="4"/>
      <c r="BP72" s="4"/>
      <c r="BQ72" s="4"/>
      <c r="BS72" s="10"/>
      <c r="BT72" s="4"/>
      <c r="BU72" s="4"/>
      <c r="BV72" s="4">
        <v>34966</v>
      </c>
      <c r="BW72" s="4"/>
      <c r="CA72" s="4"/>
      <c r="CB72" s="4"/>
      <c r="CC72" s="4">
        <v>18752</v>
      </c>
      <c r="CD72" s="4">
        <v>95112</v>
      </c>
      <c r="CE72" s="4"/>
      <c r="CF72" s="4">
        <v>28891</v>
      </c>
      <c r="CG72" s="4"/>
      <c r="CH72" s="4">
        <v>14027</v>
      </c>
      <c r="CI72" s="4"/>
      <c r="CJ72" s="10"/>
      <c r="CK72" s="4"/>
      <c r="CL72" s="10"/>
      <c r="CN72" s="4"/>
      <c r="CO72" s="10"/>
      <c r="CP72" s="4"/>
      <c r="CQ72" s="4">
        <v>12740</v>
      </c>
      <c r="CR72" s="10"/>
      <c r="CS72" s="4"/>
      <c r="CT72" s="4"/>
      <c r="CU72" s="4">
        <v>15179</v>
      </c>
      <c r="CV72" s="4"/>
      <c r="CW72" s="4"/>
      <c r="CX72" s="4"/>
      <c r="CY72" s="77">
        <f t="shared" si="46"/>
        <v>1.0739003622398342E-2</v>
      </c>
      <c r="CZ72" s="8">
        <f t="shared" si="61"/>
        <v>764807</v>
      </c>
      <c r="DA72" s="2"/>
      <c r="DH72" s="4"/>
      <c r="DJ72" s="4"/>
      <c r="DX72" s="2"/>
      <c r="DY72" s="32"/>
      <c r="DZ72" s="4">
        <v>148</v>
      </c>
      <c r="EA72" s="32"/>
      <c r="EB72" s="32"/>
      <c r="EC72" s="32"/>
      <c r="ED72" s="32"/>
      <c r="EE72" s="4"/>
      <c r="EF72" s="4"/>
      <c r="EG72" s="32"/>
      <c r="EH72" s="32"/>
      <c r="EI72" s="32"/>
      <c r="EJ72" s="32"/>
      <c r="EK72" s="5"/>
      <c r="EO72" s="2"/>
      <c r="EQ72" s="468" t="s">
        <v>1</v>
      </c>
      <c r="ER72"/>
      <c r="ES72" s="3" t="s">
        <v>306</v>
      </c>
      <c r="ET72" s="10"/>
      <c r="EU72" s="10"/>
      <c r="EV72" s="10"/>
      <c r="EW72" s="10"/>
      <c r="EX72" s="4">
        <v>5453</v>
      </c>
      <c r="EY72" s="4"/>
      <c r="EZ72" s="4"/>
      <c r="FA72" s="4"/>
      <c r="FB72" s="4"/>
      <c r="FC72" s="4">
        <v>16285</v>
      </c>
      <c r="FD72" s="4"/>
      <c r="FE72" s="4"/>
      <c r="FF72" s="4"/>
      <c r="FG72" s="4">
        <v>16955</v>
      </c>
      <c r="FH72" s="10"/>
      <c r="FI72" s="10"/>
      <c r="FJ72" s="10"/>
      <c r="FK72" s="10"/>
      <c r="FL72" s="10"/>
      <c r="FM72" s="10"/>
      <c r="FN72" s="4"/>
      <c r="FO72" s="4">
        <v>16390</v>
      </c>
      <c r="FP72" s="10"/>
      <c r="FQ72" s="4">
        <v>17858</v>
      </c>
      <c r="FR72" s="4"/>
      <c r="FS72" s="10"/>
      <c r="FT72" s="4">
        <v>22454</v>
      </c>
      <c r="FU72" s="4">
        <v>18612</v>
      </c>
      <c r="FV72" s="4">
        <v>19536</v>
      </c>
      <c r="FW72" s="4">
        <v>19759</v>
      </c>
      <c r="FX72" s="4">
        <v>7276</v>
      </c>
      <c r="FY72" s="4">
        <v>22237</v>
      </c>
      <c r="FZ72" s="10"/>
      <c r="GA72" s="10"/>
      <c r="GB72" s="10"/>
      <c r="GC72" s="10"/>
      <c r="GD72" s="4">
        <v>17794</v>
      </c>
      <c r="GE72" s="4">
        <v>17670</v>
      </c>
      <c r="GF72" s="4">
        <v>19407</v>
      </c>
      <c r="GG72" s="4"/>
      <c r="GH72" s="4">
        <v>18538</v>
      </c>
      <c r="GI72" s="4"/>
      <c r="GJ72" s="4">
        <v>20698</v>
      </c>
      <c r="GK72" s="4"/>
      <c r="GL72" s="4"/>
      <c r="GM72" s="4"/>
      <c r="GN72" s="10"/>
      <c r="GO72" s="10"/>
      <c r="GP72" s="4"/>
      <c r="GQ72" s="10"/>
      <c r="GR72" s="4">
        <v>18740</v>
      </c>
      <c r="GS72" s="10"/>
      <c r="GT72" s="4"/>
      <c r="GU72" s="10"/>
      <c r="GV72" s="4"/>
      <c r="GW72" s="10"/>
      <c r="GX72" s="10">
        <v>17625</v>
      </c>
      <c r="GY72" s="10"/>
      <c r="GZ72" s="10"/>
      <c r="HA72" s="18"/>
      <c r="HB72" s="4"/>
      <c r="HC72" s="77">
        <f t="shared" si="22"/>
        <v>3.0289736204627465E-2</v>
      </c>
      <c r="HD72" s="8">
        <f t="shared" si="51"/>
        <v>313287</v>
      </c>
      <c r="HE72" s="2"/>
      <c r="HF72" s="3" t="s">
        <v>367</v>
      </c>
      <c r="HG72" s="4">
        <f>10549+228</f>
        <v>10777</v>
      </c>
      <c r="HH72" s="4"/>
      <c r="HI72" s="4"/>
      <c r="HJ72" s="4"/>
      <c r="HK72" s="4">
        <v>12295</v>
      </c>
      <c r="HL72" s="4"/>
      <c r="HM72" s="4"/>
      <c r="HN72" s="4">
        <v>17782</v>
      </c>
      <c r="HO72" s="4">
        <v>18186</v>
      </c>
      <c r="HP72" s="4"/>
      <c r="HQ72" s="4"/>
      <c r="HR72" s="4"/>
      <c r="HS72" s="4"/>
      <c r="HT72" s="10"/>
      <c r="HU72" s="10"/>
      <c r="HV72" s="4"/>
      <c r="HW72" s="4"/>
      <c r="HX72" s="4"/>
      <c r="HY72" s="4"/>
      <c r="HZ72" s="4">
        <v>19088</v>
      </c>
      <c r="IA72" s="4">
        <v>18439</v>
      </c>
      <c r="IB72" s="4"/>
      <c r="IC72" s="4">
        <v>16088</v>
      </c>
      <c r="ID72" s="10"/>
      <c r="IE72" s="4">
        <v>17950</v>
      </c>
      <c r="IF72" s="10"/>
      <c r="IG72" s="4"/>
      <c r="IH72" s="4"/>
      <c r="II72" s="4"/>
      <c r="IJ72" s="4"/>
      <c r="IK72" s="4"/>
      <c r="IL72" s="4"/>
      <c r="IM72" s="4">
        <v>17526</v>
      </c>
      <c r="IN72" s="4"/>
      <c r="IO72" s="4"/>
      <c r="IP72" s="4">
        <v>15937</v>
      </c>
      <c r="IQ72" s="4"/>
      <c r="IR72" s="4"/>
      <c r="IS72" s="4"/>
      <c r="IT72" s="10"/>
      <c r="IU72" s="4"/>
      <c r="IV72" s="4"/>
      <c r="IW72" s="4">
        <v>18886</v>
      </c>
      <c r="IX72" s="10"/>
      <c r="IY72" s="4">
        <v>16180</v>
      </c>
      <c r="IZ72" s="4"/>
      <c r="JA72" s="4"/>
      <c r="JB72" s="4"/>
      <c r="JC72" s="4"/>
      <c r="JD72" s="4"/>
      <c r="JE72" s="4"/>
      <c r="JF72" s="10"/>
      <c r="JG72" s="10"/>
      <c r="JH72" s="10"/>
      <c r="JI72" s="4"/>
      <c r="JJ72" s="4"/>
      <c r="JK72" s="4">
        <v>15731</v>
      </c>
      <c r="JL72" s="4">
        <v>17178</v>
      </c>
      <c r="JM72" s="4"/>
      <c r="JN72" s="10"/>
      <c r="JO72" s="10"/>
      <c r="JP72" s="4"/>
      <c r="JQ72" s="4"/>
      <c r="JR72" s="4"/>
      <c r="JS72" s="4">
        <v>15510</v>
      </c>
      <c r="JT72" s="4">
        <v>16047</v>
      </c>
      <c r="JU72" s="10"/>
      <c r="JV72" s="4"/>
      <c r="JW72" s="4"/>
      <c r="JX72" s="4">
        <v>14027</v>
      </c>
      <c r="JY72" s="4"/>
      <c r="JZ72" s="4">
        <v>15156</v>
      </c>
      <c r="KA72" s="4"/>
      <c r="KB72" s="4"/>
      <c r="KC72" s="4">
        <v>17498</v>
      </c>
      <c r="KD72" s="10"/>
      <c r="KE72" s="10"/>
      <c r="KF72" s="10"/>
      <c r="KG72" s="4"/>
      <c r="KH72" s="10"/>
      <c r="KI72" s="10"/>
      <c r="KJ72" s="10"/>
      <c r="KK72" s="10"/>
      <c r="KL72" s="4">
        <v>12740</v>
      </c>
      <c r="KM72" s="10"/>
      <c r="KN72" s="4"/>
      <c r="KO72" s="4"/>
      <c r="KP72" s="4">
        <v>15179</v>
      </c>
      <c r="KQ72" s="4"/>
      <c r="KR72" s="10">
        <v>5685</v>
      </c>
      <c r="KS72" s="4">
        <v>18425</v>
      </c>
      <c r="KT72" s="4"/>
      <c r="KU72" s="4"/>
      <c r="KV72" s="4"/>
      <c r="KW72" s="4"/>
      <c r="KX72" s="18"/>
      <c r="KY72" s="4"/>
      <c r="KZ72" s="77">
        <f t="shared" si="23"/>
        <v>2.4868223348461827E-2</v>
      </c>
      <c r="LA72" s="8">
        <f t="shared" si="62"/>
        <v>362310</v>
      </c>
      <c r="LB72" s="2"/>
      <c r="LC72" s="43"/>
      <c r="MO72" s="172"/>
      <c r="NO72" s="77"/>
      <c r="NP72" s="63"/>
      <c r="NQ72"/>
      <c r="NR72" s="77" t="e">
        <f t="shared" si="24"/>
        <v>#DIV/0!</v>
      </c>
      <c r="NS72" s="8">
        <f t="shared" si="42"/>
        <v>0</v>
      </c>
      <c r="NT72" s="2"/>
      <c r="NU72" s="40" t="s">
        <v>306</v>
      </c>
      <c r="NV72" s="4">
        <v>148</v>
      </c>
      <c r="NW72" s="4"/>
      <c r="NX72" s="4"/>
      <c r="NY72" s="4">
        <v>30026</v>
      </c>
      <c r="NZ72" s="4"/>
      <c r="OA72" s="4"/>
      <c r="OB72" s="4"/>
      <c r="OC72" s="4"/>
      <c r="OD72" s="4"/>
      <c r="OE72" s="77">
        <f t="shared" si="25"/>
        <v>1.9924287706714486E-3</v>
      </c>
      <c r="OF72" s="8">
        <f t="shared" si="43"/>
        <v>30174</v>
      </c>
      <c r="OG72" s="2"/>
      <c r="OH72" s="1" t="s">
        <v>306</v>
      </c>
      <c r="OI72" s="1">
        <v>33580</v>
      </c>
      <c r="OJ72" s="40"/>
      <c r="OK72" s="40"/>
      <c r="OL72" s="40"/>
      <c r="OM72" s="40"/>
      <c r="ON72" s="40"/>
      <c r="OO72" s="40"/>
      <c r="OQ72" s="40"/>
      <c r="OR72" s="77">
        <f t="shared" si="48"/>
        <v>0</v>
      </c>
      <c r="OS72" s="8">
        <f t="shared" si="49"/>
        <v>33580</v>
      </c>
      <c r="OT72" s="37"/>
      <c r="OU72" s="126">
        <f t="shared" si="50"/>
        <v>982345</v>
      </c>
      <c r="OV72" s="71">
        <f t="shared" si="44"/>
        <v>1.3118473636715224E-2</v>
      </c>
      <c r="OW72" s="139">
        <f>IF(A72="","",SUM(Z$17:Z72))</f>
        <v>20000</v>
      </c>
      <c r="OX72" s="139">
        <f t="shared" si="52"/>
        <v>968765</v>
      </c>
      <c r="OY72" s="132">
        <f t="shared" si="53"/>
        <v>0.35759519835647691</v>
      </c>
      <c r="OZ72" s="140">
        <f t="shared" si="34"/>
        <v>675597</v>
      </c>
      <c r="PA72" s="84">
        <f t="shared" si="47"/>
        <v>2.7375168572545325E-2</v>
      </c>
      <c r="PB72" s="130">
        <f>IF(A72="","",SUM(HB$17:HB72)+SUM(KY$17:KY72))</f>
        <v>113945.31</v>
      </c>
      <c r="PC72" s="131">
        <f t="shared" si="54"/>
        <v>789542.31</v>
      </c>
      <c r="PD72" s="132">
        <f t="shared" si="55"/>
        <v>0.19533263893199468</v>
      </c>
      <c r="PE72" s="133"/>
      <c r="PF72" s="134"/>
      <c r="PG72" s="133"/>
      <c r="PH72" s="134"/>
      <c r="PI72" s="135">
        <f t="shared" si="56"/>
        <v>1657942</v>
      </c>
      <c r="PJ72" s="136">
        <f t="shared" si="10"/>
        <v>1.8879915344218148E-2</v>
      </c>
      <c r="PK72" s="123"/>
      <c r="PL72" s="137">
        <f t="shared" si="57"/>
        <v>133945.31</v>
      </c>
      <c r="PM72" s="9">
        <f t="shared" si="58"/>
        <v>1758307.31</v>
      </c>
      <c r="PN72" s="138">
        <f t="shared" si="59"/>
        <v>0.27959720109743763</v>
      </c>
      <c r="PO72" s="86">
        <f>IF(PI72="","",MAX(PI$15:PI72))</f>
        <v>1657942</v>
      </c>
      <c r="PP72" s="113">
        <f t="shared" si="11"/>
        <v>0</v>
      </c>
      <c r="PQ72" s="41"/>
      <c r="PR72" s="302"/>
    </row>
    <row r="73" spans="1:434" s="1" customFormat="1" ht="15" customHeight="1" x14ac:dyDescent="0.45">
      <c r="A73" s="18">
        <v>44229</v>
      </c>
      <c r="B73" s="3" t="s">
        <v>368</v>
      </c>
      <c r="C73" s="4">
        <v>79928</v>
      </c>
      <c r="D73" s="10"/>
      <c r="E73" s="10"/>
      <c r="F73" s="10"/>
      <c r="G73" s="4">
        <v>47793</v>
      </c>
      <c r="H73" s="10"/>
      <c r="I73" s="4">
        <v>22666</v>
      </c>
      <c r="J73" s="4">
        <v>19878</v>
      </c>
      <c r="K73" s="4">
        <v>18793</v>
      </c>
      <c r="L73" s="4">
        <v>23068</v>
      </c>
      <c r="M73" s="4">
        <v>19328</v>
      </c>
      <c r="N73" s="4"/>
      <c r="O73" s="10"/>
      <c r="P73" s="4"/>
      <c r="Q73" s="4"/>
      <c r="R73" s="4"/>
      <c r="S73" s="4"/>
      <c r="T73" s="4"/>
      <c r="U73" s="10"/>
      <c r="V73" s="10"/>
      <c r="W73" s="10"/>
      <c r="X73" s="4"/>
      <c r="Y73" s="18" t="str">
        <f t="shared" si="64"/>
        <v/>
      </c>
      <c r="Z73" s="4"/>
      <c r="AA73" s="77">
        <f t="shared" si="21"/>
        <v>0.50505904385371692</v>
      </c>
      <c r="AB73" s="8">
        <f t="shared" si="60"/>
        <v>231454</v>
      </c>
      <c r="AC73" s="2"/>
      <c r="AD73" s="3" t="s">
        <v>369</v>
      </c>
      <c r="AE73" s="4">
        <v>4450</v>
      </c>
      <c r="AF73" s="4">
        <f>593734-310096</f>
        <v>283638</v>
      </c>
      <c r="AG73" s="4"/>
      <c r="AH73" s="4"/>
      <c r="AJ73" s="4"/>
      <c r="AK73" s="4"/>
      <c r="AL73" s="4">
        <v>17803</v>
      </c>
      <c r="AM73" s="4"/>
      <c r="AO73" s="4"/>
      <c r="AP73" s="10"/>
      <c r="AQ73" s="4"/>
      <c r="AR73" s="4"/>
      <c r="AS73" s="4">
        <v>35367</v>
      </c>
      <c r="AT73" s="4">
        <v>30586</v>
      </c>
      <c r="AU73" s="4"/>
      <c r="AW73" s="4"/>
      <c r="AX73" s="4"/>
      <c r="AY73" s="4">
        <v>35072</v>
      </c>
      <c r="AZ73" s="4"/>
      <c r="BA73" s="4"/>
      <c r="BB73" s="4"/>
      <c r="BC73" s="4"/>
      <c r="BD73" s="4"/>
      <c r="BE73" s="4">
        <v>19117</v>
      </c>
      <c r="BF73" s="4"/>
      <c r="BH73" s="4"/>
      <c r="BI73" s="4"/>
      <c r="BJ73" s="4">
        <v>16396</v>
      </c>
      <c r="BK73" s="4"/>
      <c r="BL73" s="4">
        <v>32021</v>
      </c>
      <c r="BM73" s="4"/>
      <c r="BN73" s="4"/>
      <c r="BO73" s="4"/>
      <c r="BP73" s="4"/>
      <c r="BQ73" s="4"/>
      <c r="BS73" s="10"/>
      <c r="BT73" s="4"/>
      <c r="BU73" s="4"/>
      <c r="BV73" s="4">
        <v>31292</v>
      </c>
      <c r="BW73" s="4"/>
      <c r="CA73" s="4"/>
      <c r="CB73" s="4"/>
      <c r="CC73" s="4">
        <v>19084</v>
      </c>
      <c r="CD73" s="4">
        <v>95290</v>
      </c>
      <c r="CE73" s="4"/>
      <c r="CF73" s="4">
        <v>26934</v>
      </c>
      <c r="CG73" s="4"/>
      <c r="CH73" s="4">
        <v>13739</v>
      </c>
      <c r="CI73" s="4"/>
      <c r="CJ73" s="10"/>
      <c r="CK73" s="4"/>
      <c r="CL73" s="10"/>
      <c r="CN73" s="4"/>
      <c r="CO73" s="10"/>
      <c r="CP73" s="4"/>
      <c r="CQ73" s="4">
        <v>13083</v>
      </c>
      <c r="CR73" s="10"/>
      <c r="CS73" s="4"/>
      <c r="CT73" s="4"/>
      <c r="CU73" s="4">
        <v>14500</v>
      </c>
      <c r="CV73" s="4">
        <v>16987</v>
      </c>
      <c r="CW73" s="4"/>
      <c r="CX73" s="4"/>
      <c r="CY73" s="77">
        <f t="shared" si="46"/>
        <v>-7.7729414087475662E-2</v>
      </c>
      <c r="CZ73" s="8">
        <f t="shared" si="61"/>
        <v>705359</v>
      </c>
      <c r="DA73" s="2"/>
      <c r="DH73" s="4"/>
      <c r="DJ73" s="4"/>
      <c r="DX73" s="2"/>
      <c r="DY73" s="32"/>
      <c r="DZ73" s="4">
        <v>148</v>
      </c>
      <c r="EA73" s="32"/>
      <c r="EB73" s="32"/>
      <c r="EC73" s="32"/>
      <c r="ED73" s="32"/>
      <c r="EE73" s="4"/>
      <c r="EF73" s="4"/>
      <c r="EG73" s="32"/>
      <c r="EH73" s="32"/>
      <c r="EI73" s="32"/>
      <c r="EJ73" s="32"/>
      <c r="EK73" s="5"/>
      <c r="EO73" s="2"/>
      <c r="EQ73" s="468" t="s">
        <v>1</v>
      </c>
      <c r="ER73"/>
      <c r="ES73" s="6" t="s">
        <v>370</v>
      </c>
      <c r="ET73" s="10"/>
      <c r="EU73" s="10"/>
      <c r="EV73" s="10"/>
      <c r="EW73" s="10"/>
      <c r="EX73" s="4">
        <v>1311</v>
      </c>
      <c r="EY73" s="4"/>
      <c r="EZ73" s="4"/>
      <c r="FA73" s="4"/>
      <c r="FB73" s="4"/>
      <c r="FC73" s="4">
        <v>16919</v>
      </c>
      <c r="FD73" s="4"/>
      <c r="FE73" s="4"/>
      <c r="FF73" s="4"/>
      <c r="FG73" s="4"/>
      <c r="FH73" s="10"/>
      <c r="FI73" s="10"/>
      <c r="FJ73" s="10"/>
      <c r="FK73" s="10"/>
      <c r="FL73" s="10"/>
      <c r="FM73" s="10"/>
      <c r="FN73" s="4"/>
      <c r="FO73" s="4"/>
      <c r="FP73" s="10"/>
      <c r="FQ73" s="10"/>
      <c r="FR73" s="10"/>
      <c r="FS73" s="10"/>
      <c r="FT73" s="4">
        <v>22666</v>
      </c>
      <c r="FU73" s="4">
        <v>19878</v>
      </c>
      <c r="FV73" s="4">
        <v>20334</v>
      </c>
      <c r="FW73" s="4">
        <v>18793</v>
      </c>
      <c r="FX73" s="4">
        <v>7391</v>
      </c>
      <c r="FY73" s="4">
        <v>23068</v>
      </c>
      <c r="FZ73" s="10"/>
      <c r="GA73" s="10"/>
      <c r="GB73" s="10"/>
      <c r="GC73" s="10"/>
      <c r="GD73" s="4">
        <v>19328</v>
      </c>
      <c r="GE73" s="4">
        <v>17115</v>
      </c>
      <c r="GF73" s="4">
        <v>18662</v>
      </c>
      <c r="GG73" s="4"/>
      <c r="GH73" s="4"/>
      <c r="GI73" s="4"/>
      <c r="GJ73" s="4">
        <v>19878</v>
      </c>
      <c r="GK73" s="4"/>
      <c r="GL73" s="4"/>
      <c r="GM73" s="4"/>
      <c r="GN73" s="10"/>
      <c r="GO73" s="10"/>
      <c r="GP73" s="4"/>
      <c r="GQ73" s="10"/>
      <c r="GR73" s="4">
        <v>18240</v>
      </c>
      <c r="GS73" s="10"/>
      <c r="GT73" s="4"/>
      <c r="GU73" s="10"/>
      <c r="GV73" s="4"/>
      <c r="GW73" s="10"/>
      <c r="GX73" s="10">
        <v>16332</v>
      </c>
      <c r="GY73" s="10"/>
      <c r="GZ73" s="10"/>
      <c r="HA73" s="18"/>
      <c r="HB73" s="4"/>
      <c r="HC73" s="77">
        <f t="shared" si="22"/>
        <v>-0.23420058923606787</v>
      </c>
      <c r="HD73" s="8">
        <f t="shared" si="51"/>
        <v>239915</v>
      </c>
      <c r="HE73" s="2"/>
      <c r="HF73" s="3" t="s">
        <v>371</v>
      </c>
      <c r="HG73" s="4">
        <v>10738</v>
      </c>
      <c r="HH73" s="4"/>
      <c r="HI73" s="4"/>
      <c r="HJ73" s="4"/>
      <c r="HK73" s="4">
        <v>12292</v>
      </c>
      <c r="HL73" s="4"/>
      <c r="HM73" s="4"/>
      <c r="HN73" s="4">
        <v>17803</v>
      </c>
      <c r="HO73" s="4">
        <v>18586</v>
      </c>
      <c r="HP73" s="4"/>
      <c r="HQ73" s="4"/>
      <c r="HR73" s="4"/>
      <c r="HS73" s="4"/>
      <c r="HT73" s="10"/>
      <c r="HU73" s="10"/>
      <c r="HV73" s="4"/>
      <c r="HW73" s="4"/>
      <c r="HX73" s="4"/>
      <c r="HY73" s="4"/>
      <c r="HZ73" s="4">
        <v>19673</v>
      </c>
      <c r="IA73" s="4">
        <v>17915</v>
      </c>
      <c r="IB73" s="4"/>
      <c r="IC73" s="4">
        <v>18025</v>
      </c>
      <c r="ID73" s="10"/>
      <c r="IE73" s="4">
        <v>18413</v>
      </c>
      <c r="IF73" s="10"/>
      <c r="IG73" s="4"/>
      <c r="IH73" s="4"/>
      <c r="II73" s="4"/>
      <c r="IJ73" s="4">
        <v>17256</v>
      </c>
      <c r="IK73" s="4"/>
      <c r="IL73" s="4"/>
      <c r="IM73" s="4">
        <v>19117</v>
      </c>
      <c r="IN73" s="4"/>
      <c r="IO73" s="4"/>
      <c r="IP73" s="4">
        <v>16396</v>
      </c>
      <c r="IQ73" s="4"/>
      <c r="IR73" s="4"/>
      <c r="IS73" s="4"/>
      <c r="IT73" s="10"/>
      <c r="IU73" s="4"/>
      <c r="IV73" s="4"/>
      <c r="IW73" s="4">
        <v>19524</v>
      </c>
      <c r="IX73" s="10"/>
      <c r="IY73" s="4">
        <v>15926</v>
      </c>
      <c r="IZ73" s="4">
        <v>18448</v>
      </c>
      <c r="JA73" s="4"/>
      <c r="JB73" s="4"/>
      <c r="JC73" s="4"/>
      <c r="JD73" s="4"/>
      <c r="JE73" s="4"/>
      <c r="JF73" s="10"/>
      <c r="JG73" s="10"/>
      <c r="JH73" s="10"/>
      <c r="JI73" s="4">
        <v>18437</v>
      </c>
      <c r="JJ73" s="4"/>
      <c r="JK73" s="4">
        <v>15904</v>
      </c>
      <c r="JL73" s="4">
        <v>16512</v>
      </c>
      <c r="JM73" s="4"/>
      <c r="JN73" s="10"/>
      <c r="JO73" s="10"/>
      <c r="JP73" s="4"/>
      <c r="JQ73" s="4"/>
      <c r="JR73" s="4"/>
      <c r="JS73" s="4">
        <v>15559</v>
      </c>
      <c r="JT73" s="4">
        <v>15122</v>
      </c>
      <c r="JU73" s="10"/>
      <c r="JV73" s="4"/>
      <c r="JW73" s="4"/>
      <c r="JX73" s="4">
        <v>13739</v>
      </c>
      <c r="JY73" s="4"/>
      <c r="JZ73" s="4">
        <v>14730</v>
      </c>
      <c r="KA73" s="4"/>
      <c r="KB73" s="4"/>
      <c r="KC73" s="4">
        <v>16205</v>
      </c>
      <c r="KD73" s="10"/>
      <c r="KE73" s="10"/>
      <c r="KF73" s="10"/>
      <c r="KG73" s="4"/>
      <c r="KH73" s="10"/>
      <c r="KI73" s="10"/>
      <c r="KJ73" s="10"/>
      <c r="KK73" s="10"/>
      <c r="KL73" s="4">
        <v>13083</v>
      </c>
      <c r="KM73" s="10"/>
      <c r="KN73" s="4"/>
      <c r="KO73" s="4"/>
      <c r="KP73" s="4">
        <v>14500</v>
      </c>
      <c r="KQ73" s="4">
        <v>16987</v>
      </c>
      <c r="KR73" s="10"/>
      <c r="KS73" s="4">
        <v>18713</v>
      </c>
      <c r="KT73" s="4">
        <v>9166</v>
      </c>
      <c r="KU73" s="4"/>
      <c r="KV73" s="4"/>
      <c r="KW73" s="4"/>
      <c r="KX73" s="18"/>
      <c r="KY73" s="4"/>
      <c r="KZ73" s="77">
        <f t="shared" si="23"/>
        <v>0.21103198918053601</v>
      </c>
      <c r="LA73" s="8">
        <f t="shared" si="62"/>
        <v>438769</v>
      </c>
      <c r="LB73" s="2"/>
      <c r="LC73" s="43"/>
      <c r="MO73" s="172"/>
      <c r="NO73" s="77"/>
      <c r="NP73" s="63"/>
      <c r="NQ73"/>
      <c r="NR73" s="77" t="e">
        <f t="shared" si="24"/>
        <v>#DIV/0!</v>
      </c>
      <c r="NS73" s="8">
        <f t="shared" si="42"/>
        <v>0</v>
      </c>
      <c r="NT73" s="2"/>
      <c r="NU73" s="40" t="s">
        <v>306</v>
      </c>
      <c r="NV73" s="4">
        <v>148</v>
      </c>
      <c r="NW73" s="4"/>
      <c r="NX73" s="4"/>
      <c r="NY73" s="4">
        <v>30059</v>
      </c>
      <c r="NZ73" s="4"/>
      <c r="OA73" s="4"/>
      <c r="OB73" s="4"/>
      <c r="OC73" s="4"/>
      <c r="OD73" s="4"/>
      <c r="OE73" s="77">
        <f t="shared" si="25"/>
        <v>1.0936567906144363E-3</v>
      </c>
      <c r="OF73" s="8">
        <f t="shared" si="43"/>
        <v>30207</v>
      </c>
      <c r="OG73" s="2"/>
      <c r="OH73" s="1" t="s">
        <v>306</v>
      </c>
      <c r="OI73" s="1">
        <v>33580</v>
      </c>
      <c r="OJ73" s="40"/>
      <c r="OK73" s="40"/>
      <c r="OL73" s="40"/>
      <c r="OM73" s="40"/>
      <c r="ON73" s="40"/>
      <c r="OO73" s="40"/>
      <c r="OQ73" s="40"/>
      <c r="OR73" s="77">
        <f t="shared" si="48"/>
        <v>0</v>
      </c>
      <c r="OS73" s="8">
        <f t="shared" si="49"/>
        <v>33580</v>
      </c>
      <c r="OT73" s="37"/>
      <c r="OU73" s="126">
        <f t="shared" si="50"/>
        <v>1000600</v>
      </c>
      <c r="OV73" s="71">
        <f t="shared" si="44"/>
        <v>1.858308435427472E-2</v>
      </c>
      <c r="OW73" s="139">
        <f>IF(A73="","",SUM(Z$17:Z73))</f>
        <v>20000</v>
      </c>
      <c r="OX73" s="139">
        <f t="shared" si="52"/>
        <v>987020</v>
      </c>
      <c r="OY73" s="132">
        <f t="shared" si="53"/>
        <v>0.38317715099307864</v>
      </c>
      <c r="OZ73" s="140">
        <f t="shared" si="34"/>
        <v>678684</v>
      </c>
      <c r="PA73" s="84">
        <f t="shared" si="47"/>
        <v>4.5692920483661114E-3</v>
      </c>
      <c r="PB73" s="130">
        <f>IF(A73="","",SUM(HB$17:HB73)+SUM(KY$17:KY73))</f>
        <v>113945.31</v>
      </c>
      <c r="PC73" s="131">
        <f t="shared" si="54"/>
        <v>792629.31</v>
      </c>
      <c r="PD73" s="132">
        <f t="shared" si="55"/>
        <v>0.20000622236083343</v>
      </c>
      <c r="PE73" s="133"/>
      <c r="PF73" s="134"/>
      <c r="PG73" s="133"/>
      <c r="PH73" s="134"/>
      <c r="PI73" s="135">
        <f t="shared" si="56"/>
        <v>1679284</v>
      </c>
      <c r="PJ73" s="136">
        <f t="shared" si="10"/>
        <v>1.2872585410104817E-2</v>
      </c>
      <c r="PK73" s="123"/>
      <c r="PL73" s="137">
        <f t="shared" si="57"/>
        <v>133945.31</v>
      </c>
      <c r="PM73" s="9">
        <f t="shared" si="58"/>
        <v>1779649.31</v>
      </c>
      <c r="PN73" s="138">
        <f t="shared" si="59"/>
        <v>0.29512870876421832</v>
      </c>
      <c r="PO73" s="86">
        <f>IF(PI73="","",MAX(PI$15:PI73))</f>
        <v>1679284</v>
      </c>
      <c r="PP73" s="113">
        <f t="shared" si="11"/>
        <v>0</v>
      </c>
      <c r="PQ73" s="41"/>
      <c r="PR73" s="302"/>
    </row>
    <row r="74" spans="1:434" s="1" customFormat="1" ht="15" customHeight="1" x14ac:dyDescent="0.45">
      <c r="A74" s="18">
        <v>44254</v>
      </c>
      <c r="B74" s="29" t="s">
        <v>306</v>
      </c>
      <c r="C74" s="4">
        <v>79999</v>
      </c>
      <c r="D74" s="10"/>
      <c r="E74" s="10"/>
      <c r="F74" s="10"/>
      <c r="G74" s="4">
        <v>47156</v>
      </c>
      <c r="H74" s="4"/>
      <c r="I74" s="4">
        <v>22857</v>
      </c>
      <c r="J74" s="4">
        <v>19419</v>
      </c>
      <c r="K74" s="4">
        <v>19967</v>
      </c>
      <c r="L74" s="4">
        <v>25755</v>
      </c>
      <c r="M74" s="4">
        <v>18590</v>
      </c>
      <c r="N74" s="4"/>
      <c r="O74" s="10"/>
      <c r="P74" s="4"/>
      <c r="Q74" s="4"/>
      <c r="R74" s="4"/>
      <c r="S74" s="4"/>
      <c r="T74" s="4"/>
      <c r="U74" s="10"/>
      <c r="V74" s="10"/>
      <c r="W74" s="10"/>
      <c r="X74" s="4"/>
      <c r="Y74" s="18" t="str">
        <f t="shared" si="64"/>
        <v/>
      </c>
      <c r="Z74" s="4"/>
      <c r="AA74" s="77">
        <f t="shared" si="21"/>
        <v>9.8896540997347199E-3</v>
      </c>
      <c r="AB74" s="8">
        <f t="shared" si="60"/>
        <v>233743</v>
      </c>
      <c r="AC74" s="2"/>
      <c r="AD74" s="3"/>
      <c r="AE74" s="4">
        <v>4966</v>
      </c>
      <c r="AF74" s="4">
        <f>27273+33037+25342+25612+25097+33043+25414+32565+27250+27163</f>
        <v>281796</v>
      </c>
      <c r="AG74" s="4"/>
      <c r="AH74" s="4"/>
      <c r="AJ74" s="4"/>
      <c r="AK74" s="4"/>
      <c r="AL74" s="4">
        <v>17399</v>
      </c>
      <c r="AM74" s="4"/>
      <c r="AO74" s="4"/>
      <c r="AP74" s="10"/>
      <c r="AQ74" s="4"/>
      <c r="AR74" s="4"/>
      <c r="AS74" s="4">
        <v>35205</v>
      </c>
      <c r="AT74" s="4">
        <v>38352</v>
      </c>
      <c r="AU74" s="4"/>
      <c r="AW74" s="4"/>
      <c r="AX74" s="4"/>
      <c r="AY74" s="4">
        <v>34983</v>
      </c>
      <c r="AZ74" s="4"/>
      <c r="BA74" s="4"/>
      <c r="BB74" s="4"/>
      <c r="BC74" s="4"/>
      <c r="BD74" s="4"/>
      <c r="BE74" s="4">
        <v>20219</v>
      </c>
      <c r="BF74" s="4"/>
      <c r="BH74" s="4"/>
      <c r="BI74" s="4"/>
      <c r="BJ74" s="4">
        <v>15500</v>
      </c>
      <c r="BK74" s="4"/>
      <c r="BL74" s="4">
        <v>32229</v>
      </c>
      <c r="BM74" s="4"/>
      <c r="BN74" s="4"/>
      <c r="BO74" s="4"/>
      <c r="BP74" s="4"/>
      <c r="BQ74" s="4"/>
      <c r="BS74" s="10"/>
      <c r="BT74" s="4"/>
      <c r="BU74" s="4"/>
      <c r="BV74" s="4">
        <v>40645</v>
      </c>
      <c r="BW74" s="4"/>
      <c r="CA74" s="4"/>
      <c r="CB74" s="4"/>
      <c r="CC74" s="4">
        <v>19225</v>
      </c>
      <c r="CD74" s="4">
        <v>95290</v>
      </c>
      <c r="CE74" s="4"/>
      <c r="CF74" s="4">
        <v>35190</v>
      </c>
      <c r="CG74" s="4"/>
      <c r="CH74" s="4">
        <v>13289</v>
      </c>
      <c r="CI74" s="4"/>
      <c r="CJ74" s="10"/>
      <c r="CK74" s="4"/>
      <c r="CL74" s="10"/>
      <c r="CN74" s="4"/>
      <c r="CO74" s="10"/>
      <c r="CP74" s="4"/>
      <c r="CQ74" s="4">
        <v>13181</v>
      </c>
      <c r="CR74" s="10"/>
      <c r="CS74" s="4"/>
      <c r="CT74" s="4"/>
      <c r="CU74" s="4">
        <v>13880</v>
      </c>
      <c r="CV74" s="4">
        <v>16634</v>
      </c>
      <c r="CW74" s="4"/>
      <c r="CX74" s="4"/>
      <c r="CY74" s="77">
        <f t="shared" si="46"/>
        <v>3.2074447196392193E-2</v>
      </c>
      <c r="CZ74" s="8">
        <f t="shared" si="61"/>
        <v>727983</v>
      </c>
      <c r="DA74" s="2"/>
      <c r="DH74" s="4"/>
      <c r="DJ74" s="4"/>
      <c r="DX74" s="2"/>
      <c r="DY74" s="32"/>
      <c r="DZ74" s="4">
        <v>148</v>
      </c>
      <c r="EA74" s="32"/>
      <c r="EB74" s="32"/>
      <c r="EC74" s="32"/>
      <c r="ED74" s="32"/>
      <c r="EE74" s="4"/>
      <c r="EF74" s="4"/>
      <c r="EG74" s="32"/>
      <c r="EH74" s="32"/>
      <c r="EI74" s="32"/>
      <c r="EJ74" s="32"/>
      <c r="EK74" s="5"/>
      <c r="EO74" s="2"/>
      <c r="EQ74" s="468" t="s">
        <v>1</v>
      </c>
      <c r="ER74"/>
      <c r="ES74" s="3" t="s">
        <v>306</v>
      </c>
      <c r="ET74" s="10"/>
      <c r="EU74" s="10"/>
      <c r="EV74" s="10"/>
      <c r="EW74" s="10"/>
      <c r="EX74" s="4">
        <v>1443</v>
      </c>
      <c r="EY74" s="4"/>
      <c r="EZ74" s="4"/>
      <c r="FA74" s="4"/>
      <c r="FB74" s="4"/>
      <c r="FC74" s="4">
        <v>15465</v>
      </c>
      <c r="FD74" s="4"/>
      <c r="FE74" s="4"/>
      <c r="FF74" s="4"/>
      <c r="FG74" s="4"/>
      <c r="FH74" s="10"/>
      <c r="FI74" s="10"/>
      <c r="FJ74" s="10"/>
      <c r="FK74" s="10"/>
      <c r="FL74" s="10"/>
      <c r="FM74" s="10"/>
      <c r="FN74" s="4"/>
      <c r="FO74" s="4"/>
      <c r="FP74" s="10"/>
      <c r="FQ74" s="4"/>
      <c r="FR74" s="4"/>
      <c r="FS74" s="10"/>
      <c r="FT74" s="4">
        <v>22857</v>
      </c>
      <c r="FU74" s="4">
        <v>19419</v>
      </c>
      <c r="FV74" s="4">
        <v>21184</v>
      </c>
      <c r="FW74" s="4">
        <v>19967</v>
      </c>
      <c r="FX74" s="4">
        <v>7371</v>
      </c>
      <c r="FY74" s="4">
        <v>25755</v>
      </c>
      <c r="FZ74" s="10"/>
      <c r="GA74" s="10"/>
      <c r="GB74" s="10"/>
      <c r="GC74" s="10"/>
      <c r="GD74" s="4">
        <v>18590</v>
      </c>
      <c r="GE74" s="4">
        <v>15723</v>
      </c>
      <c r="GF74" s="4">
        <v>19353</v>
      </c>
      <c r="GG74" s="4"/>
      <c r="GH74" s="4"/>
      <c r="GI74" s="4"/>
      <c r="GJ74" s="4">
        <v>21005</v>
      </c>
      <c r="GK74" s="4"/>
      <c r="GL74" s="4"/>
      <c r="GM74" s="4"/>
      <c r="GN74" s="10"/>
      <c r="GO74" s="10"/>
      <c r="GP74" s="4"/>
      <c r="GQ74" s="10"/>
      <c r="GR74" s="4">
        <v>18536</v>
      </c>
      <c r="GS74" s="10"/>
      <c r="GT74" s="4"/>
      <c r="GU74" s="10"/>
      <c r="GV74" s="4"/>
      <c r="GW74" s="10"/>
      <c r="GX74" s="10">
        <v>16590</v>
      </c>
      <c r="GY74" s="10"/>
      <c r="GZ74" s="10"/>
      <c r="HA74" s="18"/>
      <c r="HB74" s="4"/>
      <c r="HC74" s="77">
        <f t="shared" si="22"/>
        <v>1.3934101661004939E-2</v>
      </c>
      <c r="HD74" s="8">
        <f t="shared" si="51"/>
        <v>243258</v>
      </c>
      <c r="HE74" s="2"/>
      <c r="HF74" s="40" t="s">
        <v>306</v>
      </c>
      <c r="HG74" s="4">
        <f>10928+25.6</f>
        <v>10953.6</v>
      </c>
      <c r="HH74" s="4"/>
      <c r="HI74" s="4"/>
      <c r="HJ74" s="4"/>
      <c r="HK74" s="4">
        <v>11503</v>
      </c>
      <c r="HL74" s="4"/>
      <c r="HM74" s="4"/>
      <c r="HN74" s="4">
        <v>17399</v>
      </c>
      <c r="HO74" s="4">
        <v>20826</v>
      </c>
      <c r="HP74" s="4"/>
      <c r="HQ74" s="4"/>
      <c r="HR74" s="4"/>
      <c r="HS74" s="4"/>
      <c r="HT74" s="10"/>
      <c r="HU74" s="10"/>
      <c r="HV74" s="4"/>
      <c r="HW74" s="4"/>
      <c r="HX74" s="4"/>
      <c r="HY74" s="4"/>
      <c r="HZ74" s="4">
        <v>19294</v>
      </c>
      <c r="IA74" s="4">
        <v>16533</v>
      </c>
      <c r="IB74" s="4"/>
      <c r="IC74" s="4">
        <v>15605</v>
      </c>
      <c r="ID74" s="10"/>
      <c r="IE74" s="4">
        <v>16746</v>
      </c>
      <c r="IF74" s="10"/>
      <c r="IG74" s="4"/>
      <c r="IH74" s="4"/>
      <c r="II74" s="4"/>
      <c r="IJ74" s="4">
        <v>18799</v>
      </c>
      <c r="IK74" s="4"/>
      <c r="IL74" s="4"/>
      <c r="IM74" s="4">
        <v>20219</v>
      </c>
      <c r="IN74" s="4"/>
      <c r="IO74" s="4"/>
      <c r="IP74" s="4">
        <v>15500</v>
      </c>
      <c r="IQ74" s="4"/>
      <c r="IR74" s="4"/>
      <c r="IS74" s="4"/>
      <c r="IT74" s="10"/>
      <c r="IU74" s="4"/>
      <c r="IV74" s="4"/>
      <c r="IW74" s="4">
        <v>19015</v>
      </c>
      <c r="IX74" s="10"/>
      <c r="IY74" s="4">
        <v>15399</v>
      </c>
      <c r="IZ74" s="4">
        <v>18371</v>
      </c>
      <c r="JA74" s="4"/>
      <c r="JB74" s="4"/>
      <c r="JC74" s="4"/>
      <c r="JD74" s="4"/>
      <c r="JE74" s="4"/>
      <c r="JF74" s="10"/>
      <c r="JG74" s="10"/>
      <c r="JH74" s="10"/>
      <c r="JI74" s="4">
        <v>16910</v>
      </c>
      <c r="JJ74" s="4"/>
      <c r="JK74" s="4">
        <v>15755</v>
      </c>
      <c r="JL74" s="4">
        <v>15250</v>
      </c>
      <c r="JM74" s="4"/>
      <c r="JN74" s="10"/>
      <c r="JO74" s="10"/>
      <c r="JP74" s="4"/>
      <c r="JQ74" s="4"/>
      <c r="JR74" s="4"/>
      <c r="JS74" s="4">
        <v>14405</v>
      </c>
      <c r="JT74" s="4">
        <v>16205</v>
      </c>
      <c r="JU74" s="10"/>
      <c r="JV74" s="4"/>
      <c r="JW74" s="4"/>
      <c r="JX74" s="4">
        <v>13289</v>
      </c>
      <c r="JY74" s="4"/>
      <c r="JZ74" s="4">
        <v>14205</v>
      </c>
      <c r="KA74" s="4"/>
      <c r="KB74" s="4"/>
      <c r="KC74" s="4">
        <v>16991</v>
      </c>
      <c r="KD74" s="10"/>
      <c r="KE74" s="10"/>
      <c r="KF74" s="10"/>
      <c r="KG74" s="4"/>
      <c r="KH74" s="10"/>
      <c r="KI74" s="10"/>
      <c r="KJ74" s="10"/>
      <c r="KK74" s="10"/>
      <c r="KL74" s="4">
        <v>13181</v>
      </c>
      <c r="KM74" s="10"/>
      <c r="KN74" s="4"/>
      <c r="KO74" s="4"/>
      <c r="KP74" s="4">
        <v>13880</v>
      </c>
      <c r="KQ74" s="4">
        <v>16634</v>
      </c>
      <c r="KR74" s="10"/>
      <c r="KS74" s="4">
        <v>20194</v>
      </c>
      <c r="KT74" s="4">
        <v>10874</v>
      </c>
      <c r="KU74" s="4"/>
      <c r="KV74" s="4"/>
      <c r="KW74" s="4"/>
      <c r="KX74" s="18"/>
      <c r="KY74" s="4"/>
      <c r="KZ74" s="77">
        <f t="shared" si="23"/>
        <v>-1.1015819257969508E-2</v>
      </c>
      <c r="LA74" s="8">
        <f t="shared" si="62"/>
        <v>433935.6</v>
      </c>
      <c r="LB74" s="2"/>
      <c r="LC74" s="43"/>
      <c r="MO74" s="172"/>
      <c r="NO74" s="77"/>
      <c r="NP74" s="63"/>
      <c r="NQ74"/>
      <c r="NR74" s="77" t="e">
        <f t="shared" si="24"/>
        <v>#DIV/0!</v>
      </c>
      <c r="NS74" s="8">
        <f t="shared" si="42"/>
        <v>0</v>
      </c>
      <c r="NT74" s="2"/>
      <c r="NU74" s="40" t="s">
        <v>306</v>
      </c>
      <c r="NV74" s="4">
        <v>148</v>
      </c>
      <c r="NW74" s="4"/>
      <c r="NX74" s="4"/>
      <c r="NY74" s="4">
        <v>29982</v>
      </c>
      <c r="NZ74" s="4"/>
      <c r="OA74" s="4"/>
      <c r="OB74" s="4"/>
      <c r="OC74" s="4"/>
      <c r="OD74" s="4"/>
      <c r="OE74" s="77">
        <f t="shared" si="25"/>
        <v>-2.5490780282715927E-3</v>
      </c>
      <c r="OF74" s="8">
        <f t="shared" si="43"/>
        <v>30130</v>
      </c>
      <c r="OG74" s="2"/>
      <c r="OH74" s="1" t="s">
        <v>306</v>
      </c>
      <c r="OI74" s="1">
        <v>33580</v>
      </c>
      <c r="OJ74" s="40"/>
      <c r="OK74" s="40"/>
      <c r="OL74" s="40"/>
      <c r="OM74" s="40"/>
      <c r="ON74" s="40"/>
      <c r="OO74" s="40"/>
      <c r="OQ74" s="40"/>
      <c r="OR74" s="77">
        <f t="shared" si="48"/>
        <v>0</v>
      </c>
      <c r="OS74" s="8">
        <f t="shared" si="49"/>
        <v>33580</v>
      </c>
      <c r="OT74" s="37"/>
      <c r="OU74" s="126">
        <f t="shared" si="50"/>
        <v>1025436</v>
      </c>
      <c r="OV74" s="71">
        <f t="shared" si="44"/>
        <v>2.4821107335598641E-2</v>
      </c>
      <c r="OW74" s="139">
        <f>IF(A74="","",SUM(Z$17:Z74))</f>
        <v>20000</v>
      </c>
      <c r="OX74" s="139">
        <f t="shared" si="52"/>
        <v>1011856</v>
      </c>
      <c r="OY74" s="132">
        <f t="shared" si="53"/>
        <v>0.41798149915427507</v>
      </c>
      <c r="OZ74" s="140">
        <f t="shared" si="34"/>
        <v>677193.6</v>
      </c>
      <c r="PA74" s="84">
        <f t="shared" si="47"/>
        <v>-2.1960146400976351E-3</v>
      </c>
      <c r="PB74" s="130">
        <f>IF(A74="","",SUM(HB$17:HB74)+SUM(KY$17:KY74))</f>
        <v>113945.31</v>
      </c>
      <c r="PC74" s="131">
        <f t="shared" si="54"/>
        <v>791138.90999999992</v>
      </c>
      <c r="PD74" s="132">
        <f t="shared" si="55"/>
        <v>0.19774982173163294</v>
      </c>
      <c r="PE74" s="133"/>
      <c r="PF74" s="134"/>
      <c r="PG74" s="133"/>
      <c r="PH74" s="134"/>
      <c r="PI74" s="135">
        <f t="shared" si="56"/>
        <v>1702629.6</v>
      </c>
      <c r="PJ74" s="136">
        <f t="shared" si="10"/>
        <v>1.3902115425383731E-2</v>
      </c>
      <c r="PK74" s="123"/>
      <c r="PL74" s="137">
        <f t="shared" si="57"/>
        <v>133945.31</v>
      </c>
      <c r="PM74" s="9">
        <f t="shared" si="58"/>
        <v>1802994.91</v>
      </c>
      <c r="PN74" s="138">
        <f t="shared" si="59"/>
        <v>0.31211832386053512</v>
      </c>
      <c r="PO74" s="86">
        <f>IF(PI74="","",MAX(PI$15:PI74))</f>
        <v>1702629.6</v>
      </c>
      <c r="PP74" s="113">
        <f t="shared" si="11"/>
        <v>0</v>
      </c>
      <c r="PQ74" s="41"/>
      <c r="PR74" s="302"/>
    </row>
    <row r="75" spans="1:434" s="1" customFormat="1" ht="15" customHeight="1" x14ac:dyDescent="0.45">
      <c r="A75" s="18">
        <v>44289</v>
      </c>
      <c r="B75" s="29" t="s">
        <v>306</v>
      </c>
      <c r="C75" s="4">
        <v>80083</v>
      </c>
      <c r="D75" s="10"/>
      <c r="E75" s="10"/>
      <c r="F75" s="10"/>
      <c r="G75" s="4">
        <v>46731</v>
      </c>
      <c r="H75" s="4"/>
      <c r="I75" s="4">
        <v>23761</v>
      </c>
      <c r="J75" s="4">
        <v>19521</v>
      </c>
      <c r="K75" s="4">
        <v>20917</v>
      </c>
      <c r="L75" s="4">
        <v>26742</v>
      </c>
      <c r="M75" s="4">
        <v>19388</v>
      </c>
      <c r="N75" s="4"/>
      <c r="O75" s="10"/>
      <c r="P75" s="4"/>
      <c r="Q75" s="4"/>
      <c r="R75" s="4"/>
      <c r="S75" s="4"/>
      <c r="T75" s="4"/>
      <c r="U75" s="10"/>
      <c r="V75" s="10"/>
      <c r="W75" s="10"/>
      <c r="X75" s="4"/>
      <c r="Y75" s="18" t="str">
        <f t="shared" si="64"/>
        <v/>
      </c>
      <c r="Z75" s="4"/>
      <c r="AA75" s="77">
        <f t="shared" si="21"/>
        <v>1.4545890144303786E-2</v>
      </c>
      <c r="AB75" s="8">
        <f t="shared" si="60"/>
        <v>237143</v>
      </c>
      <c r="AC75" s="2"/>
      <c r="AD75" s="3" t="s">
        <v>306</v>
      </c>
      <c r="AE75" s="4">
        <v>5547</v>
      </c>
      <c r="AF75" s="4">
        <v>280786</v>
      </c>
      <c r="AG75" s="4"/>
      <c r="AH75" s="4"/>
      <c r="AJ75" s="4"/>
      <c r="AK75" s="4"/>
      <c r="AL75" s="4">
        <v>21283</v>
      </c>
      <c r="AM75" s="4"/>
      <c r="AO75" s="4"/>
      <c r="AP75" s="10"/>
      <c r="AQ75" s="4"/>
      <c r="AR75" s="4"/>
      <c r="AS75" s="4">
        <v>34233</v>
      </c>
      <c r="AT75" s="4">
        <v>39064</v>
      </c>
      <c r="AU75" s="4"/>
      <c r="AW75" s="4"/>
      <c r="AX75" s="4"/>
      <c r="AY75" s="4">
        <v>34937</v>
      </c>
      <c r="AZ75" s="4"/>
      <c r="BA75" s="4"/>
      <c r="BB75" s="4"/>
      <c r="BC75" s="4"/>
      <c r="BD75" s="4"/>
      <c r="BE75" s="4">
        <v>21298</v>
      </c>
      <c r="BF75" s="4"/>
      <c r="BH75" s="4"/>
      <c r="BI75" s="4"/>
      <c r="BJ75" s="4">
        <v>18465</v>
      </c>
      <c r="BK75" s="4"/>
      <c r="BL75" s="4">
        <v>30930</v>
      </c>
      <c r="BM75" s="4"/>
      <c r="BN75" s="4"/>
      <c r="BO75" s="4"/>
      <c r="BP75" s="4"/>
      <c r="BQ75" s="4"/>
      <c r="BS75" s="10"/>
      <c r="BT75" s="4"/>
      <c r="BU75" s="4"/>
      <c r="BV75" s="4">
        <v>38115</v>
      </c>
      <c r="BW75" s="4"/>
      <c r="CA75" s="4"/>
      <c r="CB75" s="4"/>
      <c r="CC75" s="4">
        <v>19383</v>
      </c>
      <c r="CD75" s="4">
        <v>95432</v>
      </c>
      <c r="CE75" s="4"/>
      <c r="CF75" s="4">
        <v>38624</v>
      </c>
      <c r="CG75" s="4"/>
      <c r="CH75" s="4">
        <v>14683</v>
      </c>
      <c r="CI75" s="4"/>
      <c r="CJ75" s="10"/>
      <c r="CK75" s="4"/>
      <c r="CL75" s="10"/>
      <c r="CN75" s="4"/>
      <c r="CO75" s="10"/>
      <c r="CP75" s="4"/>
      <c r="CQ75" s="4">
        <v>14030</v>
      </c>
      <c r="CR75" s="10"/>
      <c r="CS75" s="4"/>
      <c r="CT75" s="4"/>
      <c r="CU75" s="4">
        <v>14240</v>
      </c>
      <c r="CV75" s="4">
        <v>19392</v>
      </c>
      <c r="CW75" s="4"/>
      <c r="CX75" s="4"/>
      <c r="CY75" s="77">
        <f t="shared" si="46"/>
        <v>1.711441063870997E-2</v>
      </c>
      <c r="CZ75" s="8">
        <f t="shared" si="61"/>
        <v>740442</v>
      </c>
      <c r="DA75" s="2"/>
      <c r="DH75" s="4"/>
      <c r="DJ75" s="4"/>
      <c r="DX75" s="2"/>
      <c r="DY75" s="32"/>
      <c r="DZ75" s="4">
        <v>148</v>
      </c>
      <c r="EA75" s="32"/>
      <c r="EB75" s="32"/>
      <c r="EC75" s="32"/>
      <c r="ED75" s="32"/>
      <c r="EE75" s="4"/>
      <c r="EF75" s="4"/>
      <c r="EG75" s="32"/>
      <c r="EH75" s="32"/>
      <c r="EI75" s="32"/>
      <c r="EJ75" s="32"/>
      <c r="EK75" s="5"/>
      <c r="EO75" s="2"/>
      <c r="EQ75" s="468" t="s">
        <v>1</v>
      </c>
      <c r="ER75"/>
      <c r="ES75" s="3" t="s">
        <v>306</v>
      </c>
      <c r="ET75" s="10"/>
      <c r="EU75" s="10"/>
      <c r="EV75" s="10"/>
      <c r="EW75" s="10"/>
      <c r="EX75" s="4">
        <v>1702</v>
      </c>
      <c r="EY75" s="4"/>
      <c r="EZ75" s="4"/>
      <c r="FA75" s="4"/>
      <c r="FB75" s="4"/>
      <c r="FC75" s="4">
        <v>15805</v>
      </c>
      <c r="FD75" s="4"/>
      <c r="FE75" s="4"/>
      <c r="FF75" s="4"/>
      <c r="FG75" s="4"/>
      <c r="FH75" s="10"/>
      <c r="FI75" s="10"/>
      <c r="FJ75" s="10"/>
      <c r="FK75" s="10"/>
      <c r="FL75" s="10"/>
      <c r="FM75" s="10"/>
      <c r="FN75" s="4"/>
      <c r="FO75" s="4"/>
      <c r="FP75" s="10"/>
      <c r="FQ75" s="4"/>
      <c r="FR75" s="4"/>
      <c r="FS75" s="10"/>
      <c r="FT75" s="4">
        <v>23761</v>
      </c>
      <c r="FU75" s="4">
        <v>19521</v>
      </c>
      <c r="FV75" s="4">
        <v>22437</v>
      </c>
      <c r="FW75" s="4">
        <v>20917</v>
      </c>
      <c r="FX75" s="4">
        <v>7695</v>
      </c>
      <c r="FY75" s="4">
        <v>26742</v>
      </c>
      <c r="FZ75" s="10"/>
      <c r="GA75" s="10"/>
      <c r="GB75" s="10"/>
      <c r="GC75" s="10"/>
      <c r="GD75" s="4">
        <v>19388</v>
      </c>
      <c r="GE75" s="4">
        <v>16868</v>
      </c>
      <c r="GF75" s="4">
        <v>21543</v>
      </c>
      <c r="GG75" s="4"/>
      <c r="GH75" s="4"/>
      <c r="GI75" s="4"/>
      <c r="GJ75" s="4">
        <v>22015</v>
      </c>
      <c r="GK75" s="4"/>
      <c r="GL75" s="4"/>
      <c r="GM75" s="4"/>
      <c r="GN75" s="10"/>
      <c r="GO75" s="10"/>
      <c r="GP75" s="4"/>
      <c r="GQ75" s="10"/>
      <c r="GR75" s="4">
        <v>19819</v>
      </c>
      <c r="GS75" s="10"/>
      <c r="GT75" s="4"/>
      <c r="GU75" s="10"/>
      <c r="GV75" s="4"/>
      <c r="GW75" s="10"/>
      <c r="GX75" s="10">
        <v>17490</v>
      </c>
      <c r="GY75" s="10"/>
      <c r="GZ75" s="10"/>
      <c r="HA75" s="18"/>
      <c r="HB75" s="4"/>
      <c r="HC75" s="77">
        <f t="shared" si="22"/>
        <v>5.1159674090882928E-2</v>
      </c>
      <c r="HD75" s="8">
        <f t="shared" si="51"/>
        <v>255703</v>
      </c>
      <c r="HE75" s="2"/>
      <c r="HF75" s="40" t="s">
        <v>306</v>
      </c>
      <c r="HG75" s="4">
        <f>12695+137</f>
        <v>12832</v>
      </c>
      <c r="HH75" s="4"/>
      <c r="HI75" s="4"/>
      <c r="HJ75" s="4"/>
      <c r="HK75" s="4">
        <v>12821</v>
      </c>
      <c r="HL75" s="4"/>
      <c r="HM75" s="4"/>
      <c r="HN75" s="4">
        <v>21283</v>
      </c>
      <c r="HO75" s="4">
        <v>23694</v>
      </c>
      <c r="HP75" s="4"/>
      <c r="HQ75" s="4"/>
      <c r="HR75" s="4"/>
      <c r="HS75" s="4"/>
      <c r="HT75" s="10"/>
      <c r="HU75" s="10"/>
      <c r="HV75" s="4"/>
      <c r="HW75" s="4"/>
      <c r="HX75" s="4"/>
      <c r="HY75" s="4"/>
      <c r="HZ75" s="4">
        <v>22192</v>
      </c>
      <c r="IA75" s="4">
        <v>17748</v>
      </c>
      <c r="IB75" s="4"/>
      <c r="IC75" s="4">
        <v>17474</v>
      </c>
      <c r="ID75" s="10"/>
      <c r="IE75" s="4">
        <v>17245</v>
      </c>
      <c r="IF75" s="10"/>
      <c r="IG75" s="4"/>
      <c r="IH75" s="4"/>
      <c r="II75" s="4"/>
      <c r="IJ75" s="4">
        <v>20795</v>
      </c>
      <c r="IK75" s="4"/>
      <c r="IL75" s="4"/>
      <c r="IM75" s="4">
        <v>21298</v>
      </c>
      <c r="IN75" s="4"/>
      <c r="IO75" s="4"/>
      <c r="IP75" s="4">
        <v>18465</v>
      </c>
      <c r="IQ75" s="4"/>
      <c r="IR75" s="4"/>
      <c r="IS75" s="4"/>
      <c r="IT75" s="10"/>
      <c r="IU75" s="4"/>
      <c r="IV75" s="4"/>
      <c r="IW75" s="4">
        <v>19540</v>
      </c>
      <c r="IX75" s="10"/>
      <c r="IY75" s="4">
        <v>16438</v>
      </c>
      <c r="IZ75" s="4">
        <v>19691</v>
      </c>
      <c r="JA75" s="4"/>
      <c r="JB75" s="4"/>
      <c r="JC75" s="4"/>
      <c r="JD75" s="4"/>
      <c r="JE75" s="4"/>
      <c r="JF75" s="10"/>
      <c r="JG75" s="10"/>
      <c r="JH75" s="10"/>
      <c r="JI75" s="4">
        <v>19357</v>
      </c>
      <c r="JJ75" s="4"/>
      <c r="JK75" s="4">
        <v>17343</v>
      </c>
      <c r="JL75" s="4">
        <v>16189</v>
      </c>
      <c r="JM75" s="4"/>
      <c r="JN75" s="10"/>
      <c r="JO75" s="10"/>
      <c r="JP75" s="4"/>
      <c r="JQ75" s="4"/>
      <c r="JR75" s="4"/>
      <c r="JS75" s="4">
        <v>15824</v>
      </c>
      <c r="JT75" s="4">
        <v>16407</v>
      </c>
      <c r="JU75" s="10"/>
      <c r="JV75" s="4"/>
      <c r="JW75" s="4"/>
      <c r="JX75" s="4">
        <v>14683</v>
      </c>
      <c r="JY75" s="4"/>
      <c r="JZ75" s="4">
        <v>15415</v>
      </c>
      <c r="KA75" s="4"/>
      <c r="KB75" s="4"/>
      <c r="KC75" s="4">
        <v>17349</v>
      </c>
      <c r="KD75" s="10"/>
      <c r="KE75" s="10"/>
      <c r="KF75" s="10"/>
      <c r="KG75" s="4"/>
      <c r="KH75" s="10"/>
      <c r="KI75" s="10"/>
      <c r="KJ75" s="10"/>
      <c r="KK75" s="10"/>
      <c r="KL75" s="4">
        <v>14030</v>
      </c>
      <c r="KM75" s="10"/>
      <c r="KN75" s="4"/>
      <c r="KO75" s="4"/>
      <c r="KP75" s="4">
        <v>14240</v>
      </c>
      <c r="KQ75" s="4">
        <v>19392</v>
      </c>
      <c r="KR75" s="10"/>
      <c r="KS75" s="4">
        <v>21544</v>
      </c>
      <c r="KT75" s="4">
        <v>11478</v>
      </c>
      <c r="KU75" s="4"/>
      <c r="KV75" s="4"/>
      <c r="KW75" s="4"/>
      <c r="KX75" s="18"/>
      <c r="KY75" s="4"/>
      <c r="KZ75" s="77">
        <f t="shared" si="23"/>
        <v>9.409552938270109E-2</v>
      </c>
      <c r="LA75" s="8">
        <f t="shared" si="62"/>
        <v>474767</v>
      </c>
      <c r="LB75" s="2"/>
      <c r="LC75" s="43"/>
      <c r="MO75" s="172"/>
      <c r="NO75" s="77"/>
      <c r="NP75" s="63"/>
      <c r="NQ75"/>
      <c r="NR75" s="77" t="e">
        <f t="shared" si="24"/>
        <v>#DIV/0!</v>
      </c>
      <c r="NS75" s="8">
        <f t="shared" si="42"/>
        <v>0</v>
      </c>
      <c r="NT75" s="2"/>
      <c r="NU75" s="40" t="s">
        <v>306</v>
      </c>
      <c r="NV75" s="4">
        <v>148</v>
      </c>
      <c r="NW75" s="4"/>
      <c r="NX75" s="4"/>
      <c r="NY75" s="4">
        <v>29942</v>
      </c>
      <c r="NZ75" s="4"/>
      <c r="OA75" s="4"/>
      <c r="OB75" s="4"/>
      <c r="OC75" s="4"/>
      <c r="OD75" s="4"/>
      <c r="OE75" s="77">
        <f t="shared" si="25"/>
        <v>-1.3275804845668769E-3</v>
      </c>
      <c r="OF75" s="8">
        <f t="shared" si="43"/>
        <v>30090</v>
      </c>
      <c r="OG75" s="2"/>
      <c r="OH75" s="1" t="s">
        <v>306</v>
      </c>
      <c r="OI75" s="1">
        <v>33581</v>
      </c>
      <c r="OJ75" s="40"/>
      <c r="OK75" s="40"/>
      <c r="OL75" s="40"/>
      <c r="OM75" s="40"/>
      <c r="ON75" s="40"/>
      <c r="OO75" s="40"/>
      <c r="OQ75" s="40"/>
      <c r="OR75" s="77">
        <f t="shared" si="48"/>
        <v>2.9779630732578915E-5</v>
      </c>
      <c r="OS75" s="8">
        <f t="shared" si="49"/>
        <v>33581</v>
      </c>
      <c r="OT75" s="37"/>
      <c r="OU75" s="126">
        <f t="shared" si="50"/>
        <v>1041256</v>
      </c>
      <c r="OV75" s="71">
        <f t="shared" si="44"/>
        <v>1.542758397403641E-2</v>
      </c>
      <c r="OW75" s="139">
        <f>IF(A75="","",SUM(Z$17:Z75))</f>
        <v>20000</v>
      </c>
      <c r="OX75" s="139">
        <f t="shared" si="52"/>
        <v>1027675</v>
      </c>
      <c r="OY75" s="132">
        <f t="shared" si="53"/>
        <v>0.4401497220388767</v>
      </c>
      <c r="OZ75" s="140">
        <f t="shared" si="34"/>
        <v>730470</v>
      </c>
      <c r="PA75" s="84">
        <f t="shared" si="47"/>
        <v>7.8672332402432668E-2</v>
      </c>
      <c r="PB75" s="130">
        <f>IF(A75="","",SUM(HB$17:HB75)+SUM(KY$17:KY75))</f>
        <v>113945.31</v>
      </c>
      <c r="PC75" s="131">
        <f t="shared" si="54"/>
        <v>844415.31</v>
      </c>
      <c r="PD75" s="132">
        <f t="shared" si="55"/>
        <v>0.27840796886094471</v>
      </c>
      <c r="PE75" s="133"/>
      <c r="PF75" s="134"/>
      <c r="PG75" s="133"/>
      <c r="PH75" s="134"/>
      <c r="PI75" s="135">
        <f t="shared" si="56"/>
        <v>1771726</v>
      </c>
      <c r="PJ75" s="136">
        <f t="shared" si="10"/>
        <v>4.0582167724559651E-2</v>
      </c>
      <c r="PK75" s="123"/>
      <c r="PL75" s="137">
        <f t="shared" si="57"/>
        <v>133945.31</v>
      </c>
      <c r="PM75" s="9">
        <f t="shared" si="58"/>
        <v>1872090.31</v>
      </c>
      <c r="PN75" s="138">
        <f t="shared" si="59"/>
        <v>0.36240207115878648</v>
      </c>
      <c r="PO75" s="86">
        <f>IF(PI75="","",MAX(PI$15:PI75))</f>
        <v>1771726</v>
      </c>
      <c r="PP75" s="113">
        <f t="shared" si="11"/>
        <v>0</v>
      </c>
      <c r="PQ75" s="41"/>
      <c r="PR75" s="302"/>
    </row>
    <row r="76" spans="1:434" s="1" customFormat="1" ht="15" customHeight="1" x14ac:dyDescent="0.45">
      <c r="A76" s="18">
        <v>44318</v>
      </c>
      <c r="B76" s="29" t="s">
        <v>306</v>
      </c>
      <c r="C76" s="4">
        <v>80165</v>
      </c>
      <c r="D76" s="10"/>
      <c r="E76" s="10"/>
      <c r="F76" s="10"/>
      <c r="G76" s="4">
        <v>46901</v>
      </c>
      <c r="H76" s="4"/>
      <c r="I76" s="4">
        <v>24151</v>
      </c>
      <c r="J76" s="4">
        <v>19641</v>
      </c>
      <c r="K76" s="4">
        <v>21003</v>
      </c>
      <c r="L76" s="4">
        <v>26917</v>
      </c>
      <c r="M76" s="4">
        <v>20174</v>
      </c>
      <c r="N76" s="4"/>
      <c r="O76" s="10"/>
      <c r="P76" s="4"/>
      <c r="Q76" s="4"/>
      <c r="R76" s="4"/>
      <c r="S76" s="4"/>
      <c r="T76" s="4"/>
      <c r="U76" s="10"/>
      <c r="V76" s="10"/>
      <c r="W76" s="10"/>
      <c r="X76" s="4"/>
      <c r="Y76" s="18">
        <f t="shared" si="64"/>
        <v>44299</v>
      </c>
      <c r="Z76" s="4"/>
      <c r="AA76" s="77">
        <f t="shared" si="21"/>
        <v>7.6283086576453872E-3</v>
      </c>
      <c r="AB76" s="8">
        <f t="shared" si="60"/>
        <v>238952</v>
      </c>
      <c r="AC76" s="2"/>
      <c r="AD76" s="3" t="s">
        <v>306</v>
      </c>
      <c r="AE76" s="4">
        <f>31235+438</f>
        <v>31673</v>
      </c>
      <c r="AF76" s="4">
        <v>255625</v>
      </c>
      <c r="AG76" s="4"/>
      <c r="AH76" s="4"/>
      <c r="AJ76" s="4"/>
      <c r="AK76" s="4"/>
      <c r="AL76" s="4">
        <v>21962</v>
      </c>
      <c r="AM76" s="4"/>
      <c r="AO76" s="4"/>
      <c r="AP76" s="10"/>
      <c r="AQ76" s="4"/>
      <c r="AR76" s="4"/>
      <c r="AS76" s="4">
        <v>34655</v>
      </c>
      <c r="AT76" s="4">
        <v>37536</v>
      </c>
      <c r="AU76" s="4"/>
      <c r="AW76" s="4"/>
      <c r="AX76" s="4"/>
      <c r="AY76" s="4">
        <v>34967</v>
      </c>
      <c r="AZ76" s="4"/>
      <c r="BA76" s="4"/>
      <c r="BB76" s="4"/>
      <c r="BC76" s="4"/>
      <c r="BD76" s="4"/>
      <c r="BE76" s="4">
        <v>23535</v>
      </c>
      <c r="BF76" s="4"/>
      <c r="BH76" s="4"/>
      <c r="BI76" s="4"/>
      <c r="BJ76" s="4">
        <v>19420</v>
      </c>
      <c r="BK76" s="4"/>
      <c r="BL76" s="4">
        <v>31255</v>
      </c>
      <c r="BM76" s="4"/>
      <c r="BN76" s="4"/>
      <c r="BO76" s="4"/>
      <c r="BP76" s="4"/>
      <c r="BQ76" s="4"/>
      <c r="BS76" s="10"/>
      <c r="BT76" s="4"/>
      <c r="BU76" s="4"/>
      <c r="BV76" s="4">
        <v>42694</v>
      </c>
      <c r="BW76" s="4"/>
      <c r="CA76" s="4"/>
      <c r="CB76" s="4"/>
      <c r="CC76" s="4">
        <v>19453</v>
      </c>
      <c r="CD76" s="4">
        <v>95432</v>
      </c>
      <c r="CE76" s="4"/>
      <c r="CF76" s="4">
        <v>36339</v>
      </c>
      <c r="CG76" s="4"/>
      <c r="CH76" s="4">
        <v>15952</v>
      </c>
      <c r="CI76" s="4"/>
      <c r="CJ76" s="10"/>
      <c r="CK76" s="4"/>
      <c r="CL76" s="10"/>
      <c r="CN76" s="4"/>
      <c r="CO76" s="10"/>
      <c r="CP76" s="4"/>
      <c r="CQ76" s="4">
        <v>14862</v>
      </c>
      <c r="CR76" s="10"/>
      <c r="CS76" s="4"/>
      <c r="CT76" s="4"/>
      <c r="CU76" s="4">
        <v>14338</v>
      </c>
      <c r="CV76" s="4">
        <v>20696</v>
      </c>
      <c r="CW76" s="4"/>
      <c r="CX76" s="4"/>
      <c r="CY76" s="77">
        <f t="shared" si="46"/>
        <v>1.3440620602288903E-2</v>
      </c>
      <c r="CZ76" s="8">
        <f t="shared" si="61"/>
        <v>750394</v>
      </c>
      <c r="DA76" s="2"/>
      <c r="DH76" s="4"/>
      <c r="DJ76" s="4"/>
      <c r="DX76" s="2"/>
      <c r="DY76" s="32"/>
      <c r="DZ76" s="4">
        <v>148</v>
      </c>
      <c r="EA76" s="32"/>
      <c r="EB76" s="32"/>
      <c r="EC76" s="32"/>
      <c r="ED76" s="32"/>
      <c r="EE76" s="4"/>
      <c r="EF76" s="4"/>
      <c r="EG76" s="32"/>
      <c r="EH76" s="32"/>
      <c r="EI76" s="32"/>
      <c r="EJ76" s="32"/>
      <c r="EK76" s="5"/>
      <c r="EO76" s="2"/>
      <c r="EQ76" s="468" t="s">
        <v>1</v>
      </c>
      <c r="ER76"/>
      <c r="ES76" s="3" t="s">
        <v>306</v>
      </c>
      <c r="ET76" s="10"/>
      <c r="EU76" s="10"/>
      <c r="EV76" s="10"/>
      <c r="EW76" s="10"/>
      <c r="EX76" s="4">
        <f>1760+188</f>
        <v>1948</v>
      </c>
      <c r="EY76" s="4"/>
      <c r="EZ76" s="4"/>
      <c r="FA76" s="4"/>
      <c r="FB76" s="4"/>
      <c r="FC76" s="4">
        <v>17337</v>
      </c>
      <c r="FD76" s="4"/>
      <c r="FE76" s="4"/>
      <c r="FF76" s="4"/>
      <c r="FG76" s="4"/>
      <c r="FH76" s="10"/>
      <c r="FI76" s="10"/>
      <c r="FJ76" s="10"/>
      <c r="FK76" s="10"/>
      <c r="FL76" s="10"/>
      <c r="FM76" s="10"/>
      <c r="FN76" s="4"/>
      <c r="FO76" s="4"/>
      <c r="FP76" s="10"/>
      <c r="FQ76" s="4"/>
      <c r="FR76" s="4"/>
      <c r="FS76" s="10"/>
      <c r="FT76" s="4">
        <v>24151</v>
      </c>
      <c r="FU76" s="4">
        <v>19641</v>
      </c>
      <c r="FV76" s="4">
        <v>23100</v>
      </c>
      <c r="FW76" s="4">
        <v>21003</v>
      </c>
      <c r="FX76" s="4">
        <v>7756</v>
      </c>
      <c r="FY76" s="4">
        <v>26917</v>
      </c>
      <c r="FZ76" s="10"/>
      <c r="GA76" s="10"/>
      <c r="GB76" s="10"/>
      <c r="GC76" s="10"/>
      <c r="GD76" s="4">
        <v>20174</v>
      </c>
      <c r="GE76" s="4">
        <v>17930</v>
      </c>
      <c r="GF76" s="4">
        <v>22737</v>
      </c>
      <c r="GG76" s="4"/>
      <c r="GH76" s="4"/>
      <c r="GI76" s="4"/>
      <c r="GJ76" s="4">
        <v>23750</v>
      </c>
      <c r="GK76" s="4"/>
      <c r="GL76" s="4"/>
      <c r="GM76" s="4"/>
      <c r="GN76" s="10"/>
      <c r="GO76" s="10"/>
      <c r="GP76" s="4"/>
      <c r="GQ76" s="10"/>
      <c r="GR76" s="4">
        <v>19988</v>
      </c>
      <c r="GS76" s="10"/>
      <c r="GT76" s="4"/>
      <c r="GU76" s="10"/>
      <c r="GV76" s="4"/>
      <c r="GW76" s="10"/>
      <c r="GX76" s="10">
        <v>17337</v>
      </c>
      <c r="GY76" s="10"/>
      <c r="GZ76" s="10"/>
      <c r="HA76" s="18">
        <v>44299</v>
      </c>
      <c r="HB76" s="4">
        <v>495.16</v>
      </c>
      <c r="HC76" s="77">
        <f t="shared" si="22"/>
        <v>3.1544408943187996E-2</v>
      </c>
      <c r="HD76" s="8">
        <f t="shared" si="51"/>
        <v>263769</v>
      </c>
      <c r="HE76" s="2"/>
      <c r="HF76" s="40" t="s">
        <v>306</v>
      </c>
      <c r="HG76" s="4">
        <v>11895</v>
      </c>
      <c r="HH76" s="4"/>
      <c r="HI76" s="4"/>
      <c r="HJ76" s="4"/>
      <c r="HK76" s="4">
        <v>12982</v>
      </c>
      <c r="HL76" s="4"/>
      <c r="HM76" s="4"/>
      <c r="HN76" s="4">
        <v>21962</v>
      </c>
      <c r="HO76" s="4">
        <v>24318</v>
      </c>
      <c r="HP76" s="4"/>
      <c r="HQ76" s="4"/>
      <c r="HR76" s="4"/>
      <c r="HS76" s="4"/>
      <c r="HT76" s="10"/>
      <c r="HU76" s="10"/>
      <c r="HV76" s="4"/>
      <c r="HW76" s="4"/>
      <c r="HX76" s="4"/>
      <c r="HY76" s="4"/>
      <c r="HZ76" s="4">
        <v>21891</v>
      </c>
      <c r="IA76" s="4">
        <v>18090</v>
      </c>
      <c r="IB76" s="4"/>
      <c r="IC76" s="4">
        <v>17804</v>
      </c>
      <c r="ID76" s="10"/>
      <c r="IE76" s="4">
        <v>17760</v>
      </c>
      <c r="IF76" s="10"/>
      <c r="IG76" s="4"/>
      <c r="IH76" s="4"/>
      <c r="II76" s="4"/>
      <c r="IJ76" s="4">
        <v>21876</v>
      </c>
      <c r="IK76" s="4"/>
      <c r="IL76" s="4"/>
      <c r="IM76" s="4">
        <v>23535</v>
      </c>
      <c r="IN76" s="4"/>
      <c r="IO76" s="4"/>
      <c r="IP76" s="4">
        <v>19420</v>
      </c>
      <c r="IQ76" s="4"/>
      <c r="IR76" s="4"/>
      <c r="IS76" s="4"/>
      <c r="IT76" s="10"/>
      <c r="IU76" s="4"/>
      <c r="IV76" s="4"/>
      <c r="IW76" s="4">
        <v>19527</v>
      </c>
      <c r="IX76" s="10"/>
      <c r="IY76" s="4">
        <v>15998</v>
      </c>
      <c r="IZ76" s="4">
        <v>20243</v>
      </c>
      <c r="JA76" s="4"/>
      <c r="JB76" s="4"/>
      <c r="JC76" s="4"/>
      <c r="JD76" s="4"/>
      <c r="JE76" s="4"/>
      <c r="JF76" s="10"/>
      <c r="JG76" s="10"/>
      <c r="JH76" s="10"/>
      <c r="JI76" s="4">
        <v>18726</v>
      </c>
      <c r="JJ76" s="4"/>
      <c r="JK76" s="4">
        <v>17742</v>
      </c>
      <c r="JL76" s="4">
        <v>15645</v>
      </c>
      <c r="JM76" s="4"/>
      <c r="JN76" s="10"/>
      <c r="JO76" s="10"/>
      <c r="JP76" s="4"/>
      <c r="JQ76" s="4"/>
      <c r="JR76" s="4"/>
      <c r="JS76" s="4">
        <v>16022</v>
      </c>
      <c r="JT76" s="4">
        <v>17174</v>
      </c>
      <c r="JU76" s="10"/>
      <c r="JV76" s="4"/>
      <c r="JW76" s="4"/>
      <c r="JX76" s="4">
        <v>15952</v>
      </c>
      <c r="JY76" s="4"/>
      <c r="JZ76" s="4">
        <v>18347</v>
      </c>
      <c r="KA76" s="4"/>
      <c r="KB76" s="4"/>
      <c r="KC76" s="4">
        <v>18685</v>
      </c>
      <c r="KD76" s="10"/>
      <c r="KE76" s="10"/>
      <c r="KF76" s="10"/>
      <c r="KG76" s="4"/>
      <c r="KH76" s="10"/>
      <c r="KI76" s="10"/>
      <c r="KJ76" s="10"/>
      <c r="KK76" s="10"/>
      <c r="KL76" s="4">
        <v>14862</v>
      </c>
      <c r="KM76" s="10"/>
      <c r="KN76" s="4"/>
      <c r="KO76" s="4"/>
      <c r="KP76" s="4">
        <v>14338</v>
      </c>
      <c r="KQ76" s="4">
        <v>20696</v>
      </c>
      <c r="KR76" s="10"/>
      <c r="KS76" s="4">
        <v>22663</v>
      </c>
      <c r="KT76" s="4">
        <v>11448</v>
      </c>
      <c r="KU76" s="4"/>
      <c r="KV76" s="4"/>
      <c r="KW76" s="4"/>
      <c r="KX76" s="18">
        <v>44299</v>
      </c>
      <c r="KY76" s="4">
        <v>1316</v>
      </c>
      <c r="KZ76" s="77">
        <f t="shared" si="23"/>
        <v>3.124480008088178E-2</v>
      </c>
      <c r="LA76" s="8">
        <f t="shared" si="62"/>
        <v>489601</v>
      </c>
      <c r="LB76" s="2"/>
      <c r="LC76" s="43"/>
      <c r="MO76" s="172"/>
      <c r="NO76" s="77"/>
      <c r="NP76" s="63"/>
      <c r="NQ76"/>
      <c r="NR76" s="77" t="e">
        <f t="shared" si="24"/>
        <v>#DIV/0!</v>
      </c>
      <c r="NS76" s="8">
        <f t="shared" si="42"/>
        <v>0</v>
      </c>
      <c r="NT76" s="2"/>
      <c r="NU76" s="40" t="s">
        <v>306</v>
      </c>
      <c r="NV76" s="4">
        <v>148</v>
      </c>
      <c r="NW76" s="4"/>
      <c r="NX76" s="4"/>
      <c r="NY76" s="4">
        <v>29968</v>
      </c>
      <c r="NZ76" s="4"/>
      <c r="OA76" s="4"/>
      <c r="OB76" s="4"/>
      <c r="OC76" s="4"/>
      <c r="OD76" s="4"/>
      <c r="OE76" s="77">
        <f t="shared" si="25"/>
        <v>8.6407444333665671E-4</v>
      </c>
      <c r="OF76" s="8">
        <f t="shared" si="43"/>
        <v>30116</v>
      </c>
      <c r="OG76" s="2"/>
      <c r="OH76" s="1" t="s">
        <v>306</v>
      </c>
      <c r="OI76" s="1">
        <v>33581</v>
      </c>
      <c r="OJ76" s="40"/>
      <c r="OK76" s="40"/>
      <c r="OL76" s="40"/>
      <c r="OM76" s="40"/>
      <c r="ON76" s="40"/>
      <c r="OO76" s="40"/>
      <c r="OQ76" s="40"/>
      <c r="OR76" s="77">
        <f t="shared" si="48"/>
        <v>0</v>
      </c>
      <c r="OS76" s="8">
        <f t="shared" si="49"/>
        <v>33581</v>
      </c>
      <c r="OT76" s="37"/>
      <c r="OU76" s="126">
        <f t="shared" si="50"/>
        <v>1053043</v>
      </c>
      <c r="OV76" s="71">
        <f t="shared" si="44"/>
        <v>1.1319982790015136E-2</v>
      </c>
      <c r="OW76" s="139">
        <f>IF(A76="","",SUM(Z$17:Z76))</f>
        <v>20000</v>
      </c>
      <c r="OX76" s="139">
        <f t="shared" si="52"/>
        <v>1039462</v>
      </c>
      <c r="OY76" s="132">
        <f t="shared" si="53"/>
        <v>0.45666763360982304</v>
      </c>
      <c r="OZ76" s="140">
        <f t="shared" si="34"/>
        <v>753370</v>
      </c>
      <c r="PA76" s="84">
        <f t="shared" si="47"/>
        <v>3.1349678973811385E-2</v>
      </c>
      <c r="PB76" s="130">
        <f>IF(A76="","",SUM(HB$17:HB76)+SUM(KY$17:KY76))</f>
        <v>115756.47</v>
      </c>
      <c r="PC76" s="131">
        <f t="shared" si="54"/>
        <v>869126.47</v>
      </c>
      <c r="PD76" s="132">
        <f t="shared" si="55"/>
        <v>0.31581958787078679</v>
      </c>
      <c r="PE76" s="133"/>
      <c r="PF76" s="134"/>
      <c r="PG76" s="133"/>
      <c r="PH76" s="134"/>
      <c r="PI76" s="135">
        <f t="shared" si="56"/>
        <v>1806413</v>
      </c>
      <c r="PJ76" s="136">
        <f t="shared" si="10"/>
        <v>1.9578083744326156E-2</v>
      </c>
      <c r="PK76" s="123"/>
      <c r="PL76" s="137">
        <f t="shared" si="57"/>
        <v>135756.47</v>
      </c>
      <c r="PM76" s="9">
        <f t="shared" si="58"/>
        <v>1908588.47</v>
      </c>
      <c r="PN76" s="138">
        <f t="shared" si="59"/>
        <v>0.38896337993319308</v>
      </c>
      <c r="PO76" s="86">
        <f>IF(PI76="","",MAX(PI$15:PI76))</f>
        <v>1806413</v>
      </c>
      <c r="PP76" s="113">
        <f t="shared" si="11"/>
        <v>0</v>
      </c>
      <c r="PQ76" s="41"/>
      <c r="PR76" s="302"/>
    </row>
    <row r="77" spans="1:434" s="1" customFormat="1" ht="15" customHeight="1" x14ac:dyDescent="0.45">
      <c r="A77" s="18">
        <v>44347</v>
      </c>
      <c r="B77" s="3" t="s">
        <v>372</v>
      </c>
      <c r="C77" s="4">
        <v>80192</v>
      </c>
      <c r="D77" s="10"/>
      <c r="E77" s="10"/>
      <c r="F77" s="10"/>
      <c r="G77" s="4"/>
      <c r="H77" s="4"/>
      <c r="I77" s="4">
        <v>24960</v>
      </c>
      <c r="J77" s="4">
        <v>19995</v>
      </c>
      <c r="K77" s="4">
        <v>21442</v>
      </c>
      <c r="L77" s="4">
        <v>28742</v>
      </c>
      <c r="M77" s="4">
        <v>19974</v>
      </c>
      <c r="N77" s="4"/>
      <c r="O77" s="10"/>
      <c r="P77" s="4">
        <v>47241</v>
      </c>
      <c r="Q77" s="4"/>
      <c r="R77" s="4"/>
      <c r="S77" s="4"/>
      <c r="T77" s="4"/>
      <c r="U77" s="10"/>
      <c r="V77" s="10"/>
      <c r="W77" s="10"/>
      <c r="X77" s="4"/>
      <c r="Y77" s="18" t="str">
        <f t="shared" si="64"/>
        <v/>
      </c>
      <c r="Z77" s="4"/>
      <c r="AA77" s="77">
        <f t="shared" si="21"/>
        <v>1.5040677625631925E-2</v>
      </c>
      <c r="AB77" s="8">
        <f t="shared" si="60"/>
        <v>242546</v>
      </c>
      <c r="AC77" s="2"/>
      <c r="AD77" s="3" t="s">
        <v>373</v>
      </c>
      <c r="AE77" s="4">
        <v>1398</v>
      </c>
      <c r="AF77" s="4">
        <v>255980</v>
      </c>
      <c r="AG77" s="4"/>
      <c r="AH77" s="4"/>
      <c r="AI77" s="33"/>
      <c r="AJ77" s="4"/>
      <c r="AK77" s="4"/>
      <c r="AL77" s="4">
        <v>21099</v>
      </c>
      <c r="AM77" s="4"/>
      <c r="AN77" s="1">
        <v>7028</v>
      </c>
      <c r="AO77" s="4"/>
      <c r="AP77" s="10"/>
      <c r="AQ77" s="4"/>
      <c r="AR77" s="4"/>
      <c r="AS77" s="4"/>
      <c r="AT77" s="4">
        <v>38144</v>
      </c>
      <c r="AU77" s="4"/>
      <c r="AW77" s="4"/>
      <c r="AX77" s="4"/>
      <c r="AY77" s="4"/>
      <c r="AZ77" s="4"/>
      <c r="BA77" s="4"/>
      <c r="BB77" s="4"/>
      <c r="BC77" s="4"/>
      <c r="BD77" s="4"/>
      <c r="BE77" s="4">
        <v>23569</v>
      </c>
      <c r="BF77" s="4"/>
      <c r="BG77" s="1">
        <v>7476</v>
      </c>
      <c r="BH77" s="4"/>
      <c r="BI77" s="4"/>
      <c r="BJ77" s="4">
        <v>19135</v>
      </c>
      <c r="BK77" s="4"/>
      <c r="BL77" s="10"/>
      <c r="BM77" s="4"/>
      <c r="BN77" s="4"/>
      <c r="BO77" s="4"/>
      <c r="BP77" s="4"/>
      <c r="BQ77" s="4"/>
      <c r="BR77" s="1">
        <v>6635</v>
      </c>
      <c r="BS77" s="10"/>
      <c r="BT77" s="4"/>
      <c r="BU77" s="4"/>
      <c r="BV77" s="4">
        <v>43863</v>
      </c>
      <c r="BW77" s="4"/>
      <c r="BX77" s="1">
        <v>6212</v>
      </c>
      <c r="BY77" s="1">
        <v>6068</v>
      </c>
      <c r="CA77" s="4"/>
      <c r="CB77" s="4"/>
      <c r="CC77" s="4"/>
      <c r="CD77" s="4"/>
      <c r="CE77" s="4"/>
      <c r="CF77" s="4">
        <v>38978</v>
      </c>
      <c r="CG77" s="4"/>
      <c r="CH77" s="4">
        <v>16477</v>
      </c>
      <c r="CI77" s="4"/>
      <c r="CJ77" s="10"/>
      <c r="CK77" s="4"/>
      <c r="CL77" s="10"/>
      <c r="CM77" s="1">
        <v>7863</v>
      </c>
      <c r="CN77" s="4"/>
      <c r="CO77" s="10"/>
      <c r="CP77" s="4"/>
      <c r="CQ77" s="4">
        <v>14982</v>
      </c>
      <c r="CR77" s="10"/>
      <c r="CS77" s="4"/>
      <c r="CT77" s="4"/>
      <c r="CU77" s="4">
        <v>14547</v>
      </c>
      <c r="CV77" s="4">
        <v>21102</v>
      </c>
      <c r="CW77" s="4"/>
      <c r="CX77" s="4"/>
      <c r="CY77" s="77">
        <f t="shared" si="46"/>
        <v>-0.26631076474492066</v>
      </c>
      <c r="CZ77" s="8">
        <f t="shared" si="61"/>
        <v>550556</v>
      </c>
      <c r="DA77" s="2"/>
      <c r="DD77" s="33"/>
      <c r="DH77" s="4"/>
      <c r="DJ77" s="4"/>
      <c r="DL77" s="1">
        <v>15222</v>
      </c>
      <c r="DM77" s="1">
        <v>13530</v>
      </c>
      <c r="DN77" s="1">
        <v>15394</v>
      </c>
      <c r="DP77" s="1">
        <v>14200</v>
      </c>
      <c r="DQ77" s="1">
        <v>15934</v>
      </c>
      <c r="DR77" s="1">
        <v>9401</v>
      </c>
      <c r="DU77" s="1">
        <v>14481</v>
      </c>
      <c r="DX77" s="2"/>
      <c r="DY77" s="32"/>
      <c r="DZ77" s="4">
        <v>933</v>
      </c>
      <c r="EA77" s="32"/>
      <c r="EB77" s="32"/>
      <c r="EC77" s="32"/>
      <c r="ED77" s="32"/>
      <c r="EE77" s="4">
        <v>14961</v>
      </c>
      <c r="EF77" s="4">
        <v>14255</v>
      </c>
      <c r="EG77" s="32"/>
      <c r="EH77" s="32"/>
      <c r="EI77" s="32"/>
      <c r="EJ77" s="32"/>
      <c r="EK77" s="5"/>
      <c r="EO77" s="2"/>
      <c r="EQ77" s="468" t="s">
        <v>1</v>
      </c>
      <c r="ER77"/>
      <c r="ES77" s="3" t="s">
        <v>306</v>
      </c>
      <c r="ET77" s="10"/>
      <c r="EU77" s="10"/>
      <c r="EV77" s="10"/>
      <c r="EW77" s="10"/>
      <c r="EX77" s="4">
        <v>2327</v>
      </c>
      <c r="EY77" s="4"/>
      <c r="EZ77" s="4"/>
      <c r="FA77" s="4"/>
      <c r="FB77" s="4"/>
      <c r="FC77" s="4">
        <v>16115</v>
      </c>
      <c r="FD77" s="4"/>
      <c r="FE77" s="4"/>
      <c r="FF77" s="4"/>
      <c r="FG77" s="4"/>
      <c r="FH77" s="10"/>
      <c r="FI77" s="10"/>
      <c r="FJ77" s="10"/>
      <c r="FK77" s="10"/>
      <c r="FL77" s="10"/>
      <c r="FM77" s="10"/>
      <c r="FN77" s="4"/>
      <c r="FO77" s="4"/>
      <c r="FP77" s="10"/>
      <c r="FQ77" s="4"/>
      <c r="FR77" s="4"/>
      <c r="FS77" s="10"/>
      <c r="FT77" s="4">
        <v>24960</v>
      </c>
      <c r="FU77" s="4">
        <v>19995</v>
      </c>
      <c r="FV77" s="4">
        <v>23164</v>
      </c>
      <c r="FW77" s="4">
        <v>21442</v>
      </c>
      <c r="FX77" s="4">
        <v>7934</v>
      </c>
      <c r="FY77" s="4">
        <v>28742</v>
      </c>
      <c r="FZ77" s="10"/>
      <c r="GA77" s="10"/>
      <c r="GB77" s="10"/>
      <c r="GC77" s="10"/>
      <c r="GD77" s="4">
        <v>19974</v>
      </c>
      <c r="GE77" s="4">
        <v>18551</v>
      </c>
      <c r="GF77" s="4">
        <v>23622</v>
      </c>
      <c r="GG77" s="4"/>
      <c r="GH77" s="4"/>
      <c r="GI77" s="4"/>
      <c r="GJ77" s="4">
        <v>24108</v>
      </c>
      <c r="GK77" s="4"/>
      <c r="GL77" s="4"/>
      <c r="GM77" s="4"/>
      <c r="GN77" s="10"/>
      <c r="GO77" s="10"/>
      <c r="GP77" s="4"/>
      <c r="GQ77" s="10"/>
      <c r="GR77" s="4">
        <v>20226</v>
      </c>
      <c r="GS77" s="10"/>
      <c r="GT77" s="4"/>
      <c r="GU77" s="10"/>
      <c r="GV77" s="4"/>
      <c r="GW77" s="10"/>
      <c r="GX77" s="10">
        <v>16947</v>
      </c>
      <c r="GY77" s="10"/>
      <c r="GZ77" s="10"/>
      <c r="HA77" s="18"/>
      <c r="HB77" s="4"/>
      <c r="HC77" s="77">
        <f t="shared" si="22"/>
        <v>1.6446208614355744E-2</v>
      </c>
      <c r="HD77" s="8">
        <f t="shared" si="51"/>
        <v>268107</v>
      </c>
      <c r="HE77" s="2"/>
      <c r="HF77" s="3" t="s">
        <v>374</v>
      </c>
      <c r="HG77" s="4">
        <f>11059+27</f>
        <v>11086</v>
      </c>
      <c r="HH77" s="4"/>
      <c r="HI77" s="4"/>
      <c r="HJ77" s="4"/>
      <c r="HK77" s="4">
        <v>13485</v>
      </c>
      <c r="HL77" s="4"/>
      <c r="HM77" s="4"/>
      <c r="HN77" s="4">
        <v>21099</v>
      </c>
      <c r="HO77" s="4">
        <v>25434</v>
      </c>
      <c r="HP77" s="4"/>
      <c r="HQ77" s="4"/>
      <c r="HR77" s="4"/>
      <c r="HS77" s="4"/>
      <c r="HT77" s="10"/>
      <c r="HU77" s="10"/>
      <c r="HV77" s="4"/>
      <c r="HW77" s="4"/>
      <c r="HX77" s="4"/>
      <c r="HY77" s="4"/>
      <c r="HZ77" s="4">
        <v>22747</v>
      </c>
      <c r="IA77" s="4">
        <v>16101</v>
      </c>
      <c r="IB77" s="4"/>
      <c r="IC77" s="4">
        <v>17775</v>
      </c>
      <c r="ID77" s="10"/>
      <c r="IE77" s="4">
        <v>17845</v>
      </c>
      <c r="IF77" s="10"/>
      <c r="IG77" s="4"/>
      <c r="IH77" s="4"/>
      <c r="II77" s="4"/>
      <c r="IJ77" s="4">
        <v>21840</v>
      </c>
      <c r="IK77" s="4"/>
      <c r="IL77" s="4"/>
      <c r="IM77" s="4">
        <v>23569</v>
      </c>
      <c r="IN77" s="4"/>
      <c r="IO77" s="4"/>
      <c r="IP77" s="4">
        <v>19135</v>
      </c>
      <c r="IQ77" s="4"/>
      <c r="IR77" s="4"/>
      <c r="IS77" s="4"/>
      <c r="IT77" s="10"/>
      <c r="IU77" s="4"/>
      <c r="IV77" s="4"/>
      <c r="IW77" s="4">
        <v>20310</v>
      </c>
      <c r="IX77" s="10"/>
      <c r="IY77" s="4">
        <v>15676</v>
      </c>
      <c r="IZ77" s="4">
        <v>20734</v>
      </c>
      <c r="JA77" s="4"/>
      <c r="JB77" s="4"/>
      <c r="JC77" s="4"/>
      <c r="JD77" s="4"/>
      <c r="JE77" s="4"/>
      <c r="JF77" s="10"/>
      <c r="JG77" s="10"/>
      <c r="JH77" s="10"/>
      <c r="JI77" s="4">
        <v>19239</v>
      </c>
      <c r="JJ77" s="4"/>
      <c r="JK77" s="4">
        <v>18274</v>
      </c>
      <c r="JL77" s="4">
        <v>15937</v>
      </c>
      <c r="JM77" s="4"/>
      <c r="JN77" s="10"/>
      <c r="JO77" s="10"/>
      <c r="JP77" s="4"/>
      <c r="JQ77" s="4"/>
      <c r="JR77" s="4"/>
      <c r="JS77" s="4">
        <v>16011</v>
      </c>
      <c r="JT77" s="4">
        <v>17082</v>
      </c>
      <c r="JU77" s="10"/>
      <c r="JV77" s="4"/>
      <c r="JW77" s="4"/>
      <c r="JX77" s="4">
        <v>16477</v>
      </c>
      <c r="JY77" s="4"/>
      <c r="JZ77" s="4">
        <v>19314</v>
      </c>
      <c r="KA77" s="4"/>
      <c r="KB77" s="4"/>
      <c r="KC77" s="4">
        <v>19321</v>
      </c>
      <c r="KD77" s="10"/>
      <c r="KE77" s="10"/>
      <c r="KF77" s="10"/>
      <c r="KG77" s="4"/>
      <c r="KH77" s="10"/>
      <c r="KI77" s="10"/>
      <c r="KJ77" s="10"/>
      <c r="KK77" s="10"/>
      <c r="KL77" s="4">
        <v>14982</v>
      </c>
      <c r="KM77" s="10"/>
      <c r="KN77" s="4"/>
      <c r="KO77" s="4"/>
      <c r="KP77" s="4">
        <v>14547</v>
      </c>
      <c r="KQ77" s="4">
        <v>21102</v>
      </c>
      <c r="KR77" s="10"/>
      <c r="KS77" s="4">
        <v>23744</v>
      </c>
      <c r="KT77" s="4">
        <v>11674</v>
      </c>
      <c r="KU77" s="4"/>
      <c r="KV77" s="4"/>
      <c r="KW77" s="4"/>
      <c r="KX77" s="18"/>
      <c r="KY77" s="4"/>
      <c r="KZ77" s="77">
        <f t="shared" si="23"/>
        <v>1.0087806193206305E-2</v>
      </c>
      <c r="LA77" s="8">
        <f t="shared" si="62"/>
        <v>494540</v>
      </c>
      <c r="LB77" s="2"/>
      <c r="LC77" s="43" t="s">
        <v>375</v>
      </c>
      <c r="LD77" s="33">
        <v>4778</v>
      </c>
      <c r="LE77" s="33"/>
      <c r="LF77" s="33"/>
      <c r="LG77" s="33"/>
      <c r="LI77" s="1">
        <v>7028</v>
      </c>
      <c r="LK77" s="1">
        <v>6215</v>
      </c>
      <c r="LU77" s="1">
        <v>15325</v>
      </c>
      <c r="LY77" s="1">
        <v>7476</v>
      </c>
      <c r="MB77" s="1">
        <v>6770</v>
      </c>
      <c r="MD77" s="1">
        <v>15222</v>
      </c>
      <c r="ME77" s="1">
        <v>6635</v>
      </c>
      <c r="MH77" s="1">
        <v>6115</v>
      </c>
      <c r="MI77" s="1">
        <v>13530</v>
      </c>
      <c r="ML77" s="1">
        <v>6802</v>
      </c>
      <c r="MM77" s="1">
        <v>6212</v>
      </c>
      <c r="MN77" s="1">
        <v>6068</v>
      </c>
      <c r="MO77" s="172">
        <v>6268</v>
      </c>
      <c r="MP77" s="1">
        <v>6344</v>
      </c>
      <c r="MR77" s="1">
        <v>6564</v>
      </c>
      <c r="MT77" s="1">
        <v>15394</v>
      </c>
      <c r="MV77" s="1">
        <v>14200</v>
      </c>
      <c r="MW77" s="1">
        <v>4568</v>
      </c>
      <c r="MX77" s="1">
        <v>15934</v>
      </c>
      <c r="NC77" s="1">
        <v>9401</v>
      </c>
      <c r="NF77" s="1">
        <v>14481</v>
      </c>
      <c r="NG77" s="1">
        <v>7863</v>
      </c>
      <c r="NH77" s="1">
        <v>5493</v>
      </c>
      <c r="NI77" s="1">
        <v>15036</v>
      </c>
      <c r="NK77" s="1">
        <v>6779</v>
      </c>
      <c r="NM77" s="1">
        <v>7274</v>
      </c>
      <c r="NO77" s="77"/>
      <c r="NP77" s="63"/>
      <c r="NQ77"/>
      <c r="NR77" s="77" t="e">
        <f t="shared" si="24"/>
        <v>#DIV/0!</v>
      </c>
      <c r="NS77" s="8">
        <f t="shared" si="42"/>
        <v>243775</v>
      </c>
      <c r="NT77" s="2"/>
      <c r="NU77" s="3" t="s">
        <v>376</v>
      </c>
      <c r="NV77" s="4">
        <v>933</v>
      </c>
      <c r="NW77" s="4"/>
      <c r="NX77" s="4"/>
      <c r="NY77" s="4"/>
      <c r="NZ77" s="4"/>
      <c r="OA77" s="4">
        <v>14961</v>
      </c>
      <c r="OB77" s="4">
        <v>14255</v>
      </c>
      <c r="OC77" s="4"/>
      <c r="OD77" s="4"/>
      <c r="OE77" s="77">
        <f t="shared" si="25"/>
        <v>1.0957630495417718E-3</v>
      </c>
      <c r="OF77" s="8">
        <f t="shared" si="43"/>
        <v>30149</v>
      </c>
      <c r="OG77" s="2"/>
      <c r="OH77" s="1" t="s">
        <v>306</v>
      </c>
      <c r="OI77" s="1">
        <v>33581</v>
      </c>
      <c r="OJ77" s="40"/>
      <c r="OK77" s="40"/>
      <c r="OL77" s="40"/>
      <c r="OM77" s="40"/>
      <c r="ON77" s="40"/>
      <c r="OO77" s="40"/>
      <c r="OQ77" s="40"/>
      <c r="OR77" s="77">
        <f t="shared" si="48"/>
        <v>0</v>
      </c>
      <c r="OS77" s="8">
        <f t="shared" si="49"/>
        <v>33581</v>
      </c>
      <c r="OT77" s="37"/>
      <c r="OU77" s="126">
        <f t="shared" ref="OU77:OU108" si="65">IF(A77="","",AB77+CZ77+OS77)</f>
        <v>826683</v>
      </c>
      <c r="OV77" s="71">
        <f t="shared" si="44"/>
        <v>-0.21495798367208177</v>
      </c>
      <c r="OW77" s="139">
        <f>IF(A77="","",SUM(Z$17:Z77))</f>
        <v>20000</v>
      </c>
      <c r="OX77" s="139">
        <f t="shared" si="52"/>
        <v>843251</v>
      </c>
      <c r="OY77" s="132">
        <f t="shared" si="53"/>
        <v>0.18170403411487565</v>
      </c>
      <c r="OZ77" s="140">
        <f t="shared" ref="OZ77:OZ108" si="66">IF(A77="","",HD77+LA77+NS77+OF77)</f>
        <v>1036571</v>
      </c>
      <c r="PA77" s="84">
        <f t="shared" si="47"/>
        <v>0.37591223436027449</v>
      </c>
      <c r="PB77" s="130">
        <f>IF(A77="","",SUM(HB$17:HB77)+SUM(KY$17:KY77))</f>
        <v>115756.47</v>
      </c>
      <c r="PC77" s="131">
        <f t="shared" si="54"/>
        <v>878403.47</v>
      </c>
      <c r="PD77" s="132">
        <f t="shared" si="55"/>
        <v>0.3298645614598173</v>
      </c>
      <c r="PE77" s="133">
        <f t="shared" ref="PE77:PE108" si="67">IF(A77="","",HD77+LA77)</f>
        <v>762647</v>
      </c>
      <c r="PF77" s="134"/>
      <c r="PG77" s="133">
        <f t="shared" ref="PG77:PG108" si="68">IF(A77="","",AB77+CZ77+NS77+OF77+OS77)</f>
        <v>1100607</v>
      </c>
      <c r="PH77" s="134"/>
      <c r="PI77" s="135">
        <f t="shared" si="56"/>
        <v>1863254</v>
      </c>
      <c r="PJ77" s="136">
        <f t="shared" si="10"/>
        <v>3.1466226162012785E-2</v>
      </c>
      <c r="PK77" s="123"/>
      <c r="PL77" s="137">
        <f t="shared" si="57"/>
        <v>135756.47</v>
      </c>
      <c r="PM77" s="9">
        <f t="shared" si="58"/>
        <v>1721654.47</v>
      </c>
      <c r="PN77" s="138">
        <f t="shared" si="59"/>
        <v>0.25292332491576364</v>
      </c>
      <c r="PO77" s="86">
        <f>IF(PI77="","",MAX(PI$15:PI77))</f>
        <v>1863254</v>
      </c>
      <c r="PP77" s="113">
        <f t="shared" si="11"/>
        <v>0</v>
      </c>
      <c r="PQ77" s="41"/>
      <c r="PR77" s="302"/>
    </row>
    <row r="78" spans="1:434" s="1" customFormat="1" ht="15" customHeight="1" x14ac:dyDescent="0.45">
      <c r="A78" s="18">
        <v>44379</v>
      </c>
      <c r="B78" s="3" t="s">
        <v>377</v>
      </c>
      <c r="C78" s="4">
        <v>50619</v>
      </c>
      <c r="D78" s="10"/>
      <c r="E78" s="10"/>
      <c r="F78" s="10"/>
      <c r="G78" s="4"/>
      <c r="H78" s="4"/>
      <c r="I78" s="4">
        <v>24356</v>
      </c>
      <c r="J78" s="4">
        <v>19886</v>
      </c>
      <c r="K78" s="4">
        <v>21436</v>
      </c>
      <c r="L78" s="4">
        <v>27178</v>
      </c>
      <c r="M78" s="4">
        <v>21976</v>
      </c>
      <c r="N78" s="4"/>
      <c r="O78" s="10"/>
      <c r="P78" s="4">
        <v>77071</v>
      </c>
      <c r="Q78" s="4"/>
      <c r="R78" s="4"/>
      <c r="S78" s="4"/>
      <c r="T78" s="4"/>
      <c r="U78" s="10"/>
      <c r="V78" s="10"/>
      <c r="W78" s="10"/>
      <c r="X78" s="4"/>
      <c r="Y78" s="18" t="str">
        <f t="shared" si="64"/>
        <v/>
      </c>
      <c r="Z78" s="4"/>
      <c r="AA78" s="77">
        <f t="shared" si="21"/>
        <v>-9.8950302210714671E-5</v>
      </c>
      <c r="AB78" s="8">
        <f t="shared" si="60"/>
        <v>242522</v>
      </c>
      <c r="AC78" s="2"/>
      <c r="AD78" s="3" t="s">
        <v>306</v>
      </c>
      <c r="AE78" s="4">
        <v>1420</v>
      </c>
      <c r="AF78" s="4">
        <v>254853</v>
      </c>
      <c r="AG78" s="4"/>
      <c r="AH78" s="4"/>
      <c r="AJ78" s="4"/>
      <c r="AK78" s="4"/>
      <c r="AL78" s="4">
        <v>23027</v>
      </c>
      <c r="AM78" s="4"/>
      <c r="AN78" s="1">
        <v>7113</v>
      </c>
      <c r="AO78" s="4"/>
      <c r="AP78" s="10"/>
      <c r="AQ78" s="4"/>
      <c r="AR78" s="4"/>
      <c r="AS78" s="4"/>
      <c r="AT78" s="4">
        <v>35104</v>
      </c>
      <c r="AU78" s="4"/>
      <c r="AW78" s="4"/>
      <c r="AX78" s="4"/>
      <c r="AY78" s="4"/>
      <c r="AZ78" s="4"/>
      <c r="BA78" s="4"/>
      <c r="BB78" s="4"/>
      <c r="BC78" s="4"/>
      <c r="BD78" s="4"/>
      <c r="BE78" s="4">
        <v>24803</v>
      </c>
      <c r="BF78" s="4"/>
      <c r="BG78" s="1">
        <v>7509</v>
      </c>
      <c r="BH78" s="4"/>
      <c r="BI78" s="4"/>
      <c r="BJ78" s="4">
        <v>19312</v>
      </c>
      <c r="BK78" s="4"/>
      <c r="BL78" s="4"/>
      <c r="BM78" s="4"/>
      <c r="BN78" s="4"/>
      <c r="BO78" s="4"/>
      <c r="BP78" s="4"/>
      <c r="BQ78" s="4"/>
      <c r="BR78" s="1">
        <v>6520</v>
      </c>
      <c r="BS78" s="10"/>
      <c r="BT78" s="4"/>
      <c r="BU78" s="4"/>
      <c r="BV78" s="4">
        <v>39882</v>
      </c>
      <c r="BW78" s="4"/>
      <c r="BX78" s="1">
        <v>5985</v>
      </c>
      <c r="BY78" s="1">
        <v>6126</v>
      </c>
      <c r="CA78" s="4"/>
      <c r="CB78" s="4"/>
      <c r="CC78" s="4"/>
      <c r="CD78" s="4"/>
      <c r="CE78" s="4"/>
      <c r="CF78" s="4">
        <v>34883</v>
      </c>
      <c r="CG78" s="4"/>
      <c r="CH78" s="4">
        <v>16244</v>
      </c>
      <c r="CI78" s="4"/>
      <c r="CJ78" s="10"/>
      <c r="CK78" s="4"/>
      <c r="CL78" s="10"/>
      <c r="CM78" s="1">
        <v>7749</v>
      </c>
      <c r="CN78" s="4"/>
      <c r="CO78" s="10"/>
      <c r="CP78" s="4"/>
      <c r="CQ78" s="4">
        <v>15368</v>
      </c>
      <c r="CR78" s="10"/>
      <c r="CS78" s="4"/>
      <c r="CT78" s="4"/>
      <c r="CU78" s="4">
        <v>15201</v>
      </c>
      <c r="CV78" s="4">
        <v>21236</v>
      </c>
      <c r="CW78" s="4"/>
      <c r="CX78" s="4"/>
      <c r="CY78" s="77">
        <f t="shared" si="46"/>
        <v>-1.4932177653136102E-2</v>
      </c>
      <c r="CZ78" s="8">
        <f t="shared" si="61"/>
        <v>542335</v>
      </c>
      <c r="DA78" s="2"/>
      <c r="DD78" s="1">
        <v>2306</v>
      </c>
      <c r="DH78" s="4"/>
      <c r="DJ78" s="4"/>
      <c r="DL78" s="1">
        <v>15213</v>
      </c>
      <c r="DM78" s="1">
        <v>13524</v>
      </c>
      <c r="DN78" s="1">
        <v>15360</v>
      </c>
      <c r="DP78" s="1">
        <v>14218</v>
      </c>
      <c r="DQ78" s="1">
        <v>15870</v>
      </c>
      <c r="DR78" s="1">
        <v>9497</v>
      </c>
      <c r="DU78" s="1">
        <v>14455</v>
      </c>
      <c r="DX78" s="2"/>
      <c r="DY78" s="32"/>
      <c r="DZ78" s="4">
        <v>980</v>
      </c>
      <c r="EA78" s="32"/>
      <c r="EB78" s="32"/>
      <c r="EC78" s="32"/>
      <c r="ED78" s="32"/>
      <c r="EE78" s="4">
        <v>15104</v>
      </c>
      <c r="EF78" s="4">
        <v>14231</v>
      </c>
      <c r="EG78" s="32"/>
      <c r="EH78" s="32"/>
      <c r="EI78" s="32"/>
      <c r="EJ78" s="32"/>
      <c r="EK78" s="5"/>
      <c r="EO78" s="2"/>
      <c r="EQ78" s="468" t="s">
        <v>1</v>
      </c>
      <c r="ER78"/>
      <c r="ES78" s="6" t="s">
        <v>378</v>
      </c>
      <c r="ET78" s="10"/>
      <c r="EU78" s="10"/>
      <c r="EV78" s="10"/>
      <c r="EW78" s="10"/>
      <c r="EX78" s="4">
        <v>2095</v>
      </c>
      <c r="EY78" s="4"/>
      <c r="EZ78" s="4"/>
      <c r="FA78" s="4"/>
      <c r="FB78" s="4"/>
      <c r="FC78" s="4">
        <v>17247</v>
      </c>
      <c r="FD78" s="4"/>
      <c r="FE78" s="4"/>
      <c r="FF78" s="4"/>
      <c r="FG78" s="4"/>
      <c r="FH78" s="10"/>
      <c r="FI78" s="10"/>
      <c r="FJ78" s="10"/>
      <c r="FK78" s="10"/>
      <c r="FL78" s="10"/>
      <c r="FM78" s="10"/>
      <c r="FN78" s="4"/>
      <c r="FO78" s="4"/>
      <c r="FP78" s="10"/>
      <c r="FQ78" s="4"/>
      <c r="FR78" s="4"/>
      <c r="FS78" s="10"/>
      <c r="FT78" s="4">
        <v>24356</v>
      </c>
      <c r="FU78" s="4">
        <v>19886</v>
      </c>
      <c r="FV78" s="4">
        <v>22942</v>
      </c>
      <c r="FW78" s="4">
        <v>21436</v>
      </c>
      <c r="FX78" s="4">
        <v>7805</v>
      </c>
      <c r="FY78" s="4">
        <v>27178</v>
      </c>
      <c r="FZ78" s="10"/>
      <c r="GA78" s="10"/>
      <c r="GB78" s="10"/>
      <c r="GC78" s="10"/>
      <c r="GD78" s="4">
        <v>21976</v>
      </c>
      <c r="GE78" s="4">
        <v>18730</v>
      </c>
      <c r="GF78" s="4">
        <v>16160</v>
      </c>
      <c r="GG78" s="4"/>
      <c r="GH78" s="4"/>
      <c r="GI78" s="4"/>
      <c r="GJ78" s="4">
        <v>25009</v>
      </c>
      <c r="GK78" s="4"/>
      <c r="GL78" s="4"/>
      <c r="GM78" s="4"/>
      <c r="GN78" s="10"/>
      <c r="GO78" s="10"/>
      <c r="GP78" s="4"/>
      <c r="GQ78" s="10"/>
      <c r="GR78" s="4">
        <v>20241</v>
      </c>
      <c r="GS78" s="10"/>
      <c r="GT78" s="4"/>
      <c r="GU78" s="10"/>
      <c r="GV78" s="4"/>
      <c r="GW78" s="10"/>
      <c r="GX78" s="10">
        <v>16893</v>
      </c>
      <c r="GY78" s="10"/>
      <c r="GZ78" s="10"/>
      <c r="HA78" s="18"/>
      <c r="HB78" s="4"/>
      <c r="HC78" s="77">
        <f t="shared" si="22"/>
        <v>-2.2949792433617923E-2</v>
      </c>
      <c r="HD78" s="8">
        <f t="shared" si="51"/>
        <v>261954</v>
      </c>
      <c r="HE78" s="2"/>
      <c r="HF78" s="3" t="s">
        <v>379</v>
      </c>
      <c r="HG78" s="4">
        <v>12933</v>
      </c>
      <c r="HH78" s="4"/>
      <c r="HI78" s="4"/>
      <c r="HJ78" s="4"/>
      <c r="HK78" s="4">
        <v>13038</v>
      </c>
      <c r="HL78" s="4"/>
      <c r="HM78" s="4"/>
      <c r="HN78" s="4">
        <v>23027</v>
      </c>
      <c r="HO78" s="4">
        <v>24744</v>
      </c>
      <c r="HP78" s="4"/>
      <c r="HQ78" s="4"/>
      <c r="HR78" s="4"/>
      <c r="HS78" s="4"/>
      <c r="HT78" s="10"/>
      <c r="HU78" s="10"/>
      <c r="HV78" s="4"/>
      <c r="HW78" s="4"/>
      <c r="HX78" s="4"/>
      <c r="HY78" s="4"/>
      <c r="HZ78" s="4">
        <v>22753</v>
      </c>
      <c r="IA78" s="4">
        <v>15705</v>
      </c>
      <c r="IB78" s="4"/>
      <c r="IC78" s="4">
        <v>17958</v>
      </c>
      <c r="ID78" s="10"/>
      <c r="IE78" s="4">
        <v>17814</v>
      </c>
      <c r="IF78" s="10"/>
      <c r="IG78" s="4"/>
      <c r="IH78" s="4"/>
      <c r="II78" s="4"/>
      <c r="IJ78" s="4">
        <v>21649</v>
      </c>
      <c r="IK78" s="4"/>
      <c r="IL78" s="4"/>
      <c r="IM78" s="4">
        <v>24803</v>
      </c>
      <c r="IN78" s="4"/>
      <c r="IO78" s="4"/>
      <c r="IP78" s="4">
        <v>19312</v>
      </c>
      <c r="IQ78" s="4"/>
      <c r="IR78" s="4"/>
      <c r="IS78" s="4"/>
      <c r="IT78" s="10"/>
      <c r="IU78" s="4"/>
      <c r="IV78" s="4"/>
      <c r="IW78" s="4">
        <v>19958</v>
      </c>
      <c r="IX78" s="10"/>
      <c r="IY78" s="4">
        <v>16062</v>
      </c>
      <c r="IZ78" s="4">
        <v>20371</v>
      </c>
      <c r="JA78" s="4"/>
      <c r="JB78" s="4"/>
      <c r="JC78" s="4"/>
      <c r="JD78" s="4"/>
      <c r="JE78" s="4"/>
      <c r="JF78" s="10"/>
      <c r="JG78" s="10"/>
      <c r="JH78" s="10"/>
      <c r="JI78" s="4">
        <v>19137</v>
      </c>
      <c r="JJ78" s="4"/>
      <c r="JK78" s="4">
        <v>17889</v>
      </c>
      <c r="JL78" s="4">
        <v>16440</v>
      </c>
      <c r="JM78" s="4"/>
      <c r="JN78" s="10"/>
      <c r="JO78" s="10"/>
      <c r="JP78" s="4">
        <v>648</v>
      </c>
      <c r="JQ78" s="4"/>
      <c r="JR78" s="4"/>
      <c r="JS78" s="4">
        <v>15463</v>
      </c>
      <c r="JT78" s="4">
        <v>17176</v>
      </c>
      <c r="JU78" s="10"/>
      <c r="JV78" s="4"/>
      <c r="JW78" s="4"/>
      <c r="JX78" s="4">
        <v>16244</v>
      </c>
      <c r="JY78" s="4"/>
      <c r="JZ78" s="4">
        <v>18965</v>
      </c>
      <c r="KA78" s="4"/>
      <c r="KB78" s="4"/>
      <c r="KC78" s="4">
        <v>20191</v>
      </c>
      <c r="KD78" s="10"/>
      <c r="KE78" s="10"/>
      <c r="KF78" s="10"/>
      <c r="KG78" s="4"/>
      <c r="KH78" s="10"/>
      <c r="KI78" s="10"/>
      <c r="KJ78" s="10"/>
      <c r="KK78" s="10"/>
      <c r="KL78" s="4">
        <v>15368</v>
      </c>
      <c r="KM78" s="10"/>
      <c r="KN78" s="4"/>
      <c r="KO78" s="4"/>
      <c r="KP78" s="4">
        <v>15201</v>
      </c>
      <c r="KQ78" s="4">
        <v>21236</v>
      </c>
      <c r="KR78" s="10"/>
      <c r="KS78" s="4">
        <v>23022</v>
      </c>
      <c r="KT78" s="4">
        <v>12549</v>
      </c>
      <c r="KU78" s="4"/>
      <c r="KV78" s="4"/>
      <c r="KW78" s="4"/>
      <c r="KX78" s="18"/>
      <c r="KY78" s="4"/>
      <c r="KZ78" s="77">
        <f t="shared" si="23"/>
        <v>1.0344967040077648E-2</v>
      </c>
      <c r="LA78" s="8">
        <f t="shared" si="62"/>
        <v>499656</v>
      </c>
      <c r="LB78" s="2"/>
      <c r="LC78" s="43" t="s">
        <v>380</v>
      </c>
      <c r="LD78" s="1">
        <v>3091</v>
      </c>
      <c r="LG78" s="1">
        <v>2306</v>
      </c>
      <c r="LI78" s="1">
        <v>7113</v>
      </c>
      <c r="LK78" s="1">
        <v>6181</v>
      </c>
      <c r="LU78" s="1">
        <v>15325</v>
      </c>
      <c r="LY78" s="1">
        <v>7509</v>
      </c>
      <c r="MB78" s="1">
        <v>6660</v>
      </c>
      <c r="MD78" s="1">
        <v>15213</v>
      </c>
      <c r="ME78" s="1">
        <v>6520</v>
      </c>
      <c r="MH78" s="1">
        <v>6103</v>
      </c>
      <c r="MI78" s="1">
        <v>13524</v>
      </c>
      <c r="ML78" s="1">
        <v>6878</v>
      </c>
      <c r="MM78" s="1">
        <v>5985</v>
      </c>
      <c r="MN78" s="1">
        <v>6126</v>
      </c>
      <c r="MO78" s="172">
        <v>6499</v>
      </c>
      <c r="MP78" s="1">
        <v>6207</v>
      </c>
      <c r="MR78" s="1">
        <v>7073</v>
      </c>
      <c r="MT78" s="1">
        <v>15360</v>
      </c>
      <c r="MV78" s="1">
        <v>14218</v>
      </c>
      <c r="MW78" s="1">
        <v>4594</v>
      </c>
      <c r="MX78" s="1">
        <v>15870</v>
      </c>
      <c r="NC78" s="1">
        <v>9497</v>
      </c>
      <c r="NF78" s="1">
        <v>14455</v>
      </c>
      <c r="NG78" s="1">
        <v>7749</v>
      </c>
      <c r="NH78" s="1">
        <v>5630</v>
      </c>
      <c r="NI78" s="1">
        <v>15029</v>
      </c>
      <c r="NK78" s="1">
        <v>6757</v>
      </c>
      <c r="NM78" s="1">
        <v>7601</v>
      </c>
      <c r="NO78" s="77"/>
      <c r="NP78" s="63"/>
      <c r="NQ78"/>
      <c r="NR78" s="77">
        <f t="shared" si="24"/>
        <v>5.3245820941441903E-3</v>
      </c>
      <c r="NS78" s="8">
        <f t="shared" si="42"/>
        <v>245073</v>
      </c>
      <c r="NT78" s="2"/>
      <c r="NU78" s="40" t="s">
        <v>306</v>
      </c>
      <c r="NV78" s="4">
        <v>980</v>
      </c>
      <c r="NW78" s="4"/>
      <c r="NX78" s="4"/>
      <c r="NY78" s="4"/>
      <c r="NZ78" s="4"/>
      <c r="OA78" s="4">
        <v>15104</v>
      </c>
      <c r="OB78" s="4">
        <v>14231</v>
      </c>
      <c r="OC78" s="4"/>
      <c r="OD78" s="4"/>
      <c r="OE78" s="77">
        <f t="shared" si="25"/>
        <v>5.5059869315731867E-3</v>
      </c>
      <c r="OF78" s="8">
        <f t="shared" si="43"/>
        <v>30315</v>
      </c>
      <c r="OG78" s="2"/>
      <c r="OH78" s="33" t="s">
        <v>377</v>
      </c>
      <c r="OI78" s="1">
        <v>82</v>
      </c>
      <c r="OJ78" s="40"/>
      <c r="OK78" s="40"/>
      <c r="OL78" s="40"/>
      <c r="OM78" s="40"/>
      <c r="ON78" s="40"/>
      <c r="OO78" s="40"/>
      <c r="OP78" s="1">
        <v>30500</v>
      </c>
      <c r="OQ78" s="40"/>
      <c r="OR78" s="77">
        <f t="shared" si="48"/>
        <v>-8.9306453053810186E-2</v>
      </c>
      <c r="OS78" s="8">
        <f t="shared" si="49"/>
        <v>30582</v>
      </c>
      <c r="OT78" s="37"/>
      <c r="OU78" s="126">
        <f t="shared" si="65"/>
        <v>815439</v>
      </c>
      <c r="OV78" s="71">
        <f t="shared" si="44"/>
        <v>-1.3601344166990249E-2</v>
      </c>
      <c r="OW78" s="139">
        <f>IF(A78="","",SUM(Z$17:Z78))</f>
        <v>20000</v>
      </c>
      <c r="OX78" s="139">
        <f t="shared" si="52"/>
        <v>835172</v>
      </c>
      <c r="OY78" s="132">
        <f t="shared" si="53"/>
        <v>0.17038239098416597</v>
      </c>
      <c r="OZ78" s="140">
        <f t="shared" si="66"/>
        <v>1036998</v>
      </c>
      <c r="PA78" s="84">
        <f t="shared" si="47"/>
        <v>4.1193512070084926E-4</v>
      </c>
      <c r="PB78" s="130">
        <f>IF(A78="","",SUM(HB$17:HB78)+SUM(KY$17:KY78))</f>
        <v>115756.47</v>
      </c>
      <c r="PC78" s="131">
        <f t="shared" si="54"/>
        <v>877366.47</v>
      </c>
      <c r="PD78" s="132">
        <f t="shared" si="55"/>
        <v>0.3282945886656139</v>
      </c>
      <c r="PE78" s="133">
        <f t="shared" si="67"/>
        <v>761610</v>
      </c>
      <c r="PF78" s="84">
        <f t="shared" ref="PF78:PF109" si="69">IF(A78="","",(PE78-PE77)/PE77)</f>
        <v>-1.3597378603731477E-3</v>
      </c>
      <c r="PG78" s="133">
        <f t="shared" si="68"/>
        <v>1090827</v>
      </c>
      <c r="PH78" s="84">
        <f t="shared" ref="PH78:PH109" si="70">IF(P78="","",(PG78-PG77)/PG77)</f>
        <v>-8.8860056314379252E-3</v>
      </c>
      <c r="PI78" s="135">
        <f t="shared" si="56"/>
        <v>1852437</v>
      </c>
      <c r="PJ78" s="136">
        <f t="shared" si="10"/>
        <v>-5.8054350077874515E-3</v>
      </c>
      <c r="PK78" s="123">
        <f>IF(PI78="","",(PI78-PI66)/PI66)</f>
        <v>0.32450915917971168</v>
      </c>
      <c r="PL78" s="137">
        <f t="shared" si="57"/>
        <v>135756.47</v>
      </c>
      <c r="PM78" s="9">
        <f t="shared" si="58"/>
        <v>1712538.47</v>
      </c>
      <c r="PN78" s="138">
        <f t="shared" si="59"/>
        <v>0.24628921265400874</v>
      </c>
      <c r="PO78" s="86">
        <f>IF(PI78="","",MAX(PI$15:PI78))</f>
        <v>1863254</v>
      </c>
      <c r="PP78" s="113">
        <f t="shared" si="11"/>
        <v>-5.8393348869624174E-3</v>
      </c>
      <c r="PQ78" s="41"/>
      <c r="PR78" s="302"/>
    </row>
    <row r="79" spans="1:434" s="1" customFormat="1" ht="15" customHeight="1" x14ac:dyDescent="0.45">
      <c r="A79" s="18">
        <v>44411</v>
      </c>
      <c r="B79" s="3"/>
      <c r="C79" s="4">
        <v>50619</v>
      </c>
      <c r="D79" s="10"/>
      <c r="E79" s="10"/>
      <c r="F79" s="10"/>
      <c r="G79" s="4"/>
      <c r="H79" s="4"/>
      <c r="I79" s="4">
        <v>24853</v>
      </c>
      <c r="J79" s="4">
        <v>19173</v>
      </c>
      <c r="K79" s="4">
        <v>21008</v>
      </c>
      <c r="L79" s="4">
        <v>26756</v>
      </c>
      <c r="M79" s="4">
        <v>22970</v>
      </c>
      <c r="N79" s="4"/>
      <c r="O79" s="10"/>
      <c r="P79" s="4">
        <v>77490</v>
      </c>
      <c r="Q79" s="4"/>
      <c r="R79" s="4"/>
      <c r="S79" s="4"/>
      <c r="T79" s="4"/>
      <c r="U79" s="10"/>
      <c r="V79" s="10"/>
      <c r="W79" s="10"/>
      <c r="X79" s="4"/>
      <c r="Y79" s="18" t="str">
        <f t="shared" si="64"/>
        <v/>
      </c>
      <c r="Z79" s="4"/>
      <c r="AA79" s="77">
        <f t="shared" si="21"/>
        <v>1.4307980306941226E-3</v>
      </c>
      <c r="AB79" s="8">
        <f t="shared" si="60"/>
        <v>242869</v>
      </c>
      <c r="AC79" s="2"/>
      <c r="AD79" s="3" t="s">
        <v>306</v>
      </c>
      <c r="AE79" s="4">
        <v>2307</v>
      </c>
      <c r="AF79" s="4">
        <v>254872</v>
      </c>
      <c r="AG79" s="4"/>
      <c r="AH79" s="4"/>
      <c r="AJ79" s="4"/>
      <c r="AK79" s="4"/>
      <c r="AL79" s="4">
        <v>24902</v>
      </c>
      <c r="AM79" s="4"/>
      <c r="AN79" s="1">
        <v>7375</v>
      </c>
      <c r="AO79" s="4"/>
      <c r="AP79" s="10"/>
      <c r="AQ79" s="4"/>
      <c r="AR79" s="4"/>
      <c r="AS79" s="4"/>
      <c r="AT79" s="4">
        <v>31816</v>
      </c>
      <c r="AU79" s="4"/>
      <c r="AW79" s="4"/>
      <c r="AX79" s="4"/>
      <c r="AY79" s="4"/>
      <c r="AZ79" s="4"/>
      <c r="BA79" s="4"/>
      <c r="BB79" s="4"/>
      <c r="BC79" s="4"/>
      <c r="BD79" s="4"/>
      <c r="BE79" s="4">
        <v>27126</v>
      </c>
      <c r="BF79" s="4"/>
      <c r="BG79" s="1">
        <v>7599</v>
      </c>
      <c r="BH79" s="4"/>
      <c r="BI79" s="4"/>
      <c r="BJ79" s="4">
        <v>19916</v>
      </c>
      <c r="BK79" s="4"/>
      <c r="BL79" s="4"/>
      <c r="BM79" s="4"/>
      <c r="BN79" s="4"/>
      <c r="BO79" s="4"/>
      <c r="BP79" s="4"/>
      <c r="BQ79" s="4"/>
      <c r="BR79" s="1">
        <v>6830</v>
      </c>
      <c r="BS79" s="10"/>
      <c r="BT79" s="4"/>
      <c r="BU79" s="4"/>
      <c r="BV79" s="4">
        <v>31886</v>
      </c>
      <c r="BW79" s="4"/>
      <c r="BX79" s="1">
        <v>6351</v>
      </c>
      <c r="BY79" s="1">
        <v>6478</v>
      </c>
      <c r="CA79" s="4"/>
      <c r="CB79" s="4"/>
      <c r="CC79" s="4"/>
      <c r="CD79" s="4"/>
      <c r="CE79" s="4"/>
      <c r="CF79" s="4">
        <v>31089</v>
      </c>
      <c r="CG79" s="4"/>
      <c r="CH79" s="4">
        <v>16876</v>
      </c>
      <c r="CI79" s="4"/>
      <c r="CJ79" s="10"/>
      <c r="CK79" s="4"/>
      <c r="CL79" s="10"/>
      <c r="CM79" s="1">
        <v>7860</v>
      </c>
      <c r="CN79" s="4"/>
      <c r="CO79" s="10"/>
      <c r="CP79" s="4"/>
      <c r="CQ79" s="4">
        <v>15929</v>
      </c>
      <c r="CR79" s="10"/>
      <c r="CS79" s="4"/>
      <c r="CT79" s="4"/>
      <c r="CU79" s="4">
        <v>15185</v>
      </c>
      <c r="CV79" s="4">
        <v>22412</v>
      </c>
      <c r="CW79" s="4"/>
      <c r="CX79" s="4"/>
      <c r="CY79" s="77">
        <f t="shared" si="46"/>
        <v>-1.0189274157116911E-2</v>
      </c>
      <c r="CZ79" s="8">
        <f t="shared" si="61"/>
        <v>536809</v>
      </c>
      <c r="DA79" s="2"/>
      <c r="DD79" s="1">
        <v>2332</v>
      </c>
      <c r="DH79" s="4"/>
      <c r="DJ79" s="4"/>
      <c r="DL79" s="1">
        <v>15218</v>
      </c>
      <c r="DM79" s="1">
        <v>13593</v>
      </c>
      <c r="DN79" s="1">
        <v>15390</v>
      </c>
      <c r="DP79" s="1">
        <v>14405</v>
      </c>
      <c r="DQ79" s="1">
        <v>15954</v>
      </c>
      <c r="DR79" s="1">
        <v>9613</v>
      </c>
      <c r="DU79" s="1">
        <v>14497</v>
      </c>
      <c r="DX79" s="2"/>
      <c r="DY79" s="32"/>
      <c r="DZ79" s="4">
        <v>1276</v>
      </c>
      <c r="EA79" s="32"/>
      <c r="EB79" s="32"/>
      <c r="EC79" s="32"/>
      <c r="ED79" s="32"/>
      <c r="EE79" s="4">
        <v>14984</v>
      </c>
      <c r="EF79" s="4">
        <v>14271</v>
      </c>
      <c r="EG79" s="32"/>
      <c r="EH79" s="32"/>
      <c r="EI79" s="32"/>
      <c r="EJ79" s="32"/>
      <c r="EK79" s="5"/>
      <c r="EO79" s="2"/>
      <c r="EQ79" s="468" t="s">
        <v>1</v>
      </c>
      <c r="ER79"/>
      <c r="ES79" s="6" t="s">
        <v>378</v>
      </c>
      <c r="ET79" s="10"/>
      <c r="EU79" s="10"/>
      <c r="EV79" s="10"/>
      <c r="EW79" s="10"/>
      <c r="EX79" s="4">
        <v>2524</v>
      </c>
      <c r="EY79" s="4"/>
      <c r="EZ79" s="4"/>
      <c r="FA79" s="4"/>
      <c r="FB79" s="4"/>
      <c r="FC79" s="4">
        <v>16831</v>
      </c>
      <c r="FD79" s="4"/>
      <c r="FE79" s="4"/>
      <c r="FF79" s="4"/>
      <c r="FG79" s="4"/>
      <c r="FH79" s="10"/>
      <c r="FI79" s="10"/>
      <c r="FJ79" s="10"/>
      <c r="FK79" s="10"/>
      <c r="FL79" s="10"/>
      <c r="FM79" s="10"/>
      <c r="FN79" s="4"/>
      <c r="FO79" s="4"/>
      <c r="FP79" s="10"/>
      <c r="FQ79" s="4"/>
      <c r="FR79" s="4"/>
      <c r="FS79" s="10"/>
      <c r="FT79" s="4">
        <v>24853</v>
      </c>
      <c r="FU79" s="4">
        <v>19173</v>
      </c>
      <c r="FV79" s="4">
        <v>22971</v>
      </c>
      <c r="FW79" s="4">
        <v>21008</v>
      </c>
      <c r="FX79" s="4">
        <v>7884</v>
      </c>
      <c r="FY79" s="4">
        <v>26756</v>
      </c>
      <c r="FZ79" s="10"/>
      <c r="GA79" s="10"/>
      <c r="GB79" s="10"/>
      <c r="GC79" s="10"/>
      <c r="GD79" s="4">
        <v>22970</v>
      </c>
      <c r="GE79" s="4">
        <v>18947</v>
      </c>
      <c r="GF79" s="4">
        <v>13461</v>
      </c>
      <c r="GG79" s="4"/>
      <c r="GH79" s="4"/>
      <c r="GI79" s="4"/>
      <c r="GJ79" s="4">
        <v>25110</v>
      </c>
      <c r="GK79" s="4"/>
      <c r="GL79" s="4"/>
      <c r="GM79" s="4"/>
      <c r="GN79" s="10"/>
      <c r="GO79" s="10"/>
      <c r="GP79" s="4"/>
      <c r="GQ79" s="10"/>
      <c r="GR79" s="4">
        <v>19805</v>
      </c>
      <c r="GS79" s="10"/>
      <c r="GT79" s="4"/>
      <c r="GU79" s="10"/>
      <c r="GV79" s="4"/>
      <c r="GW79" s="10"/>
      <c r="GX79" s="10">
        <v>16719</v>
      </c>
      <c r="GY79" s="10"/>
      <c r="GZ79" s="10"/>
      <c r="HA79" s="18"/>
      <c r="HB79" s="4"/>
      <c r="HC79" s="77">
        <f t="shared" si="22"/>
        <v>-1.1230979484947739E-2</v>
      </c>
      <c r="HD79" s="8">
        <f t="shared" si="51"/>
        <v>259012</v>
      </c>
      <c r="HE79" s="2"/>
      <c r="HF79" s="3" t="s">
        <v>381</v>
      </c>
      <c r="HG79" s="4">
        <v>11725</v>
      </c>
      <c r="HH79" s="4"/>
      <c r="HI79" s="4">
        <v>17438</v>
      </c>
      <c r="HJ79" s="4"/>
      <c r="HK79" s="4">
        <v>13079</v>
      </c>
      <c r="HL79" s="4"/>
      <c r="HM79" s="4"/>
      <c r="HN79" s="4">
        <v>24902</v>
      </c>
      <c r="HO79" s="4">
        <v>23130</v>
      </c>
      <c r="HP79" s="4"/>
      <c r="HQ79" s="4"/>
      <c r="HR79" s="4"/>
      <c r="HS79" s="4"/>
      <c r="HT79" s="10"/>
      <c r="HU79" s="10"/>
      <c r="HV79" s="4"/>
      <c r="HW79" s="4"/>
      <c r="HX79" s="4"/>
      <c r="HY79" s="4"/>
      <c r="HZ79" s="4">
        <v>24188</v>
      </c>
      <c r="IA79" s="4">
        <v>16853</v>
      </c>
      <c r="IB79" s="4"/>
      <c r="IC79" s="4">
        <v>19624</v>
      </c>
      <c r="ID79" s="10"/>
      <c r="IE79" s="4">
        <v>17475</v>
      </c>
      <c r="IF79" s="10"/>
      <c r="IG79" s="4"/>
      <c r="IH79" s="4"/>
      <c r="II79" s="4"/>
      <c r="IJ79" s="4">
        <v>22692</v>
      </c>
      <c r="IK79" s="4"/>
      <c r="IL79" s="4"/>
      <c r="IM79" s="4">
        <v>27126</v>
      </c>
      <c r="IN79" s="4"/>
      <c r="IO79" s="4"/>
      <c r="IP79" s="4">
        <v>19916</v>
      </c>
      <c r="IQ79" s="4"/>
      <c r="IR79" s="4"/>
      <c r="IS79" s="4"/>
      <c r="IT79" s="10"/>
      <c r="IU79" s="4"/>
      <c r="IV79" s="4"/>
      <c r="IW79" s="4">
        <v>20927</v>
      </c>
      <c r="IX79" s="10"/>
      <c r="IY79" s="4">
        <v>16277</v>
      </c>
      <c r="IZ79" s="4">
        <v>21345</v>
      </c>
      <c r="JA79" s="4"/>
      <c r="JB79" s="4"/>
      <c r="JC79" s="4"/>
      <c r="JD79" s="4"/>
      <c r="JE79" s="4"/>
      <c r="JF79" s="10"/>
      <c r="JG79" s="10"/>
      <c r="JH79" s="10"/>
      <c r="JI79" s="4">
        <v>20642</v>
      </c>
      <c r="JJ79" s="4"/>
      <c r="JK79" s="4">
        <v>18093</v>
      </c>
      <c r="JL79" s="4"/>
      <c r="JM79" s="4"/>
      <c r="JN79" s="10"/>
      <c r="JO79" s="10"/>
      <c r="JP79" s="4"/>
      <c r="JQ79" s="4"/>
      <c r="JR79" s="4"/>
      <c r="JS79" s="4">
        <v>15708</v>
      </c>
      <c r="JT79" s="4">
        <v>17870</v>
      </c>
      <c r="JU79" s="10"/>
      <c r="JV79" s="4"/>
      <c r="JW79" s="4"/>
      <c r="JX79" s="4">
        <v>16876</v>
      </c>
      <c r="JY79" s="4"/>
      <c r="JZ79" s="4">
        <v>17474</v>
      </c>
      <c r="KA79" s="4"/>
      <c r="KB79" s="4"/>
      <c r="KC79" s="4">
        <v>20153</v>
      </c>
      <c r="KD79" s="10"/>
      <c r="KE79" s="10"/>
      <c r="KF79" s="10"/>
      <c r="KG79" s="4"/>
      <c r="KH79" s="10"/>
      <c r="KI79" s="10"/>
      <c r="KJ79" s="10"/>
      <c r="KK79" s="10"/>
      <c r="KL79" s="4">
        <v>15929</v>
      </c>
      <c r="KM79" s="10"/>
      <c r="KN79" s="4"/>
      <c r="KO79" s="4"/>
      <c r="KP79" s="4">
        <v>15185</v>
      </c>
      <c r="KQ79" s="4">
        <v>22412</v>
      </c>
      <c r="KR79" s="10"/>
      <c r="KS79" s="4">
        <v>23088</v>
      </c>
      <c r="KT79" s="4">
        <v>11640</v>
      </c>
      <c r="KU79" s="4"/>
      <c r="KV79" s="4"/>
      <c r="KW79" s="4"/>
      <c r="KX79" s="18"/>
      <c r="KY79" s="4"/>
      <c r="KZ79" s="77">
        <f t="shared" si="23"/>
        <v>2.4238676209231952E-2</v>
      </c>
      <c r="LA79" s="8">
        <f t="shared" si="62"/>
        <v>511767</v>
      </c>
      <c r="LB79" s="2"/>
      <c r="LC79" s="43" t="s">
        <v>306</v>
      </c>
      <c r="LD79" s="1">
        <v>3157</v>
      </c>
      <c r="LG79" s="1">
        <v>2332</v>
      </c>
      <c r="LI79" s="1">
        <v>7375</v>
      </c>
      <c r="LK79" s="1">
        <v>6239</v>
      </c>
      <c r="LU79" s="1">
        <v>15320</v>
      </c>
      <c r="LY79" s="1">
        <v>7599</v>
      </c>
      <c r="MB79" s="1">
        <v>6976</v>
      </c>
      <c r="MD79" s="1">
        <v>15218</v>
      </c>
      <c r="ME79" s="1">
        <v>6830</v>
      </c>
      <c r="MH79" s="1">
        <v>5911</v>
      </c>
      <c r="MI79" s="1">
        <v>13593</v>
      </c>
      <c r="ML79" s="1">
        <v>6947</v>
      </c>
      <c r="MM79" s="1">
        <v>6351</v>
      </c>
      <c r="MN79" s="1">
        <v>6478</v>
      </c>
      <c r="MO79" s="172">
        <v>6529</v>
      </c>
      <c r="MP79" s="1">
        <v>6074</v>
      </c>
      <c r="MR79" s="1">
        <v>7320</v>
      </c>
      <c r="MT79" s="1">
        <v>15390</v>
      </c>
      <c r="MV79" s="1">
        <v>14405</v>
      </c>
      <c r="MW79" s="1">
        <v>4561</v>
      </c>
      <c r="MX79" s="1">
        <v>15954</v>
      </c>
      <c r="NC79" s="1">
        <v>9613</v>
      </c>
      <c r="NF79" s="1">
        <v>14497</v>
      </c>
      <c r="NG79" s="1">
        <v>7860</v>
      </c>
      <c r="NH79" s="1">
        <v>5840</v>
      </c>
      <c r="NI79" s="1">
        <v>15036</v>
      </c>
      <c r="NK79" s="1">
        <v>6688</v>
      </c>
      <c r="NM79" s="1">
        <v>7593</v>
      </c>
      <c r="NO79" s="77"/>
      <c r="NP79" s="63"/>
      <c r="NQ79"/>
      <c r="NR79" s="77">
        <f t="shared" si="24"/>
        <v>1.0662129243123477E-2</v>
      </c>
      <c r="NS79" s="8">
        <f t="shared" si="42"/>
        <v>247686</v>
      </c>
      <c r="NT79" s="2"/>
      <c r="NU79" s="7" t="s">
        <v>382</v>
      </c>
      <c r="NV79" s="4">
        <v>1276</v>
      </c>
      <c r="NW79" s="4"/>
      <c r="NX79" s="4"/>
      <c r="NY79" s="4"/>
      <c r="NZ79" s="4"/>
      <c r="OA79" s="4">
        <v>14984</v>
      </c>
      <c r="OB79" s="4">
        <v>14271</v>
      </c>
      <c r="OC79" s="4"/>
      <c r="OD79" s="4"/>
      <c r="OE79" s="77">
        <f t="shared" si="25"/>
        <v>7.1251855517070759E-3</v>
      </c>
      <c r="OF79" s="8">
        <f t="shared" ref="OF79:OF110" si="71">IF(A79="","",SUM(NV79:OD79))</f>
        <v>30531</v>
      </c>
      <c r="OG79" s="2"/>
      <c r="OH79" s="1" t="s">
        <v>306</v>
      </c>
      <c r="OI79" s="1">
        <v>82</v>
      </c>
      <c r="OJ79" s="40"/>
      <c r="OK79" s="40"/>
      <c r="OL79" s="40"/>
      <c r="OM79" s="40"/>
      <c r="ON79" s="40"/>
      <c r="OO79" s="40"/>
      <c r="OP79" s="1">
        <v>30666</v>
      </c>
      <c r="OQ79" s="40"/>
      <c r="OR79" s="77">
        <f t="shared" si="48"/>
        <v>5.4280295598718199E-3</v>
      </c>
      <c r="OS79" s="8">
        <f t="shared" si="49"/>
        <v>30748</v>
      </c>
      <c r="OT79" s="37"/>
      <c r="OU79" s="126">
        <f t="shared" si="65"/>
        <v>810426</v>
      </c>
      <c r="OV79" s="71">
        <f t="shared" si="44"/>
        <v>-6.1476088340145611E-3</v>
      </c>
      <c r="OW79" s="139">
        <f>IF(A79="","",SUM(Z$17:Z79))</f>
        <v>20000</v>
      </c>
      <c r="OX79" s="139">
        <f t="shared" si="52"/>
        <v>830209</v>
      </c>
      <c r="OY79" s="132">
        <f t="shared" si="53"/>
        <v>0.1634274070928784</v>
      </c>
      <c r="OZ79" s="140">
        <f t="shared" si="66"/>
        <v>1048996</v>
      </c>
      <c r="PA79" s="84">
        <f t="shared" si="47"/>
        <v>1.1569935525430135E-2</v>
      </c>
      <c r="PB79" s="130">
        <f>IF(A79="","",SUM(HB$17:HB79)+SUM(KY$17:KY79))</f>
        <v>115756.47</v>
      </c>
      <c r="PC79" s="131">
        <f t="shared" si="54"/>
        <v>886535.47</v>
      </c>
      <c r="PD79" s="132">
        <f t="shared" si="55"/>
        <v>0.34217605496267334</v>
      </c>
      <c r="PE79" s="133">
        <f t="shared" si="67"/>
        <v>770779</v>
      </c>
      <c r="PF79" s="84">
        <f t="shared" si="69"/>
        <v>1.2038970076548364E-2</v>
      </c>
      <c r="PG79" s="133">
        <f t="shared" si="68"/>
        <v>1088643</v>
      </c>
      <c r="PH79" s="84">
        <f t="shared" si="70"/>
        <v>-2.0021506618373031E-3</v>
      </c>
      <c r="PI79" s="135">
        <f t="shared" si="56"/>
        <v>1859422</v>
      </c>
      <c r="PJ79" s="136">
        <f t="shared" si="10"/>
        <v>3.7707085315182107E-3</v>
      </c>
      <c r="PK79" s="123">
        <f t="shared" ref="PK79:PK109" si="72">IF(PI79="","",(PI79-PI67)/PI67)</f>
        <v>0.32606906545828501</v>
      </c>
      <c r="PL79" s="137">
        <f t="shared" si="57"/>
        <v>135756.47</v>
      </c>
      <c r="PM79" s="9">
        <f t="shared" si="58"/>
        <v>1716744.47</v>
      </c>
      <c r="PN79" s="138">
        <f t="shared" si="59"/>
        <v>0.24935010297574428</v>
      </c>
      <c r="PO79" s="86">
        <f>IF(PI79="","",MAX(PI$15:PI79))</f>
        <v>1863254</v>
      </c>
      <c r="PP79" s="113">
        <f t="shared" si="11"/>
        <v>-2.060855470140721E-3</v>
      </c>
      <c r="PQ79" s="41"/>
      <c r="PR79" s="302"/>
    </row>
    <row r="80" spans="1:434" s="1" customFormat="1" ht="15" customHeight="1" x14ac:dyDescent="0.45">
      <c r="A80" s="18">
        <v>44439</v>
      </c>
      <c r="B80" s="29" t="s">
        <v>306</v>
      </c>
      <c r="C80" s="4">
        <v>50619</v>
      </c>
      <c r="D80" s="10"/>
      <c r="E80" s="10"/>
      <c r="F80" s="10"/>
      <c r="G80" s="4"/>
      <c r="H80" s="4"/>
      <c r="I80" s="4">
        <v>24944</v>
      </c>
      <c r="J80" s="4">
        <v>19227</v>
      </c>
      <c r="K80" s="4">
        <v>21350</v>
      </c>
      <c r="L80" s="4">
        <v>27991</v>
      </c>
      <c r="M80" s="4">
        <v>24150</v>
      </c>
      <c r="N80" s="4"/>
      <c r="O80" s="10"/>
      <c r="P80" s="4">
        <v>77629</v>
      </c>
      <c r="Q80" s="4"/>
      <c r="R80" s="4"/>
      <c r="S80" s="4"/>
      <c r="T80" s="4"/>
      <c r="U80" s="10"/>
      <c r="V80" s="10"/>
      <c r="W80" s="10"/>
      <c r="X80" s="4"/>
      <c r="Y80" s="18" t="str">
        <f t="shared" si="64"/>
        <v/>
      </c>
      <c r="Z80" s="4"/>
      <c r="AA80" s="77">
        <f t="shared" si="21"/>
        <v>1.2521153378982085E-2</v>
      </c>
      <c r="AB80" s="8">
        <f t="shared" si="60"/>
        <v>245910</v>
      </c>
      <c r="AC80" s="2"/>
      <c r="AD80" s="3" t="s">
        <v>383</v>
      </c>
      <c r="AE80" s="4">
        <f>2823+35200.37</f>
        <v>38023.370000000003</v>
      </c>
      <c r="AF80" s="4">
        <v>254256</v>
      </c>
      <c r="AG80" s="4"/>
      <c r="AH80" s="4"/>
      <c r="AJ80" s="4"/>
      <c r="AK80" s="4"/>
      <c r="AL80" s="4">
        <v>23237</v>
      </c>
      <c r="AM80" s="4"/>
      <c r="AN80" s="1">
        <v>7340</v>
      </c>
      <c r="AO80" s="4"/>
      <c r="AP80" s="10"/>
      <c r="AQ80" s="4"/>
      <c r="AR80" s="4"/>
      <c r="AS80" s="4"/>
      <c r="AT80" s="4">
        <v>32352</v>
      </c>
      <c r="AU80" s="4"/>
      <c r="AW80" s="4"/>
      <c r="AX80" s="4"/>
      <c r="AY80" s="4"/>
      <c r="AZ80" s="4"/>
      <c r="BA80" s="4"/>
      <c r="BB80" s="4"/>
      <c r="BC80" s="4"/>
      <c r="BD80" s="4"/>
      <c r="BE80" s="4">
        <v>28940</v>
      </c>
      <c r="BF80" s="4"/>
      <c r="BG80" s="1">
        <v>7512</v>
      </c>
      <c r="BH80" s="4"/>
      <c r="BI80" s="4"/>
      <c r="BJ80" s="4">
        <v>19571</v>
      </c>
      <c r="BK80" s="4"/>
      <c r="BL80" s="4"/>
      <c r="BM80" s="4"/>
      <c r="BN80" s="4"/>
      <c r="BO80" s="4"/>
      <c r="BP80" s="4"/>
      <c r="BQ80" s="4"/>
      <c r="BR80" s="1">
        <v>6757</v>
      </c>
      <c r="BS80" s="10"/>
      <c r="BT80" s="4"/>
      <c r="BU80" s="4"/>
      <c r="BV80" s="4"/>
      <c r="BW80" s="4"/>
      <c r="BX80" s="1">
        <v>6394</v>
      </c>
      <c r="BY80" s="1">
        <v>6408</v>
      </c>
      <c r="CA80" s="4"/>
      <c r="CB80" s="4"/>
      <c r="CC80" s="4"/>
      <c r="CD80" s="4"/>
      <c r="CE80" s="4"/>
      <c r="CF80" s="4">
        <v>31069</v>
      </c>
      <c r="CG80" s="4"/>
      <c r="CH80" s="4">
        <v>24976</v>
      </c>
      <c r="CI80" s="4"/>
      <c r="CJ80" s="10"/>
      <c r="CK80" s="4"/>
      <c r="CL80" s="10"/>
      <c r="CM80" s="1">
        <v>7869</v>
      </c>
      <c r="CN80" s="4"/>
      <c r="CO80" s="10"/>
      <c r="CP80" s="4"/>
      <c r="CQ80" s="4">
        <v>16287</v>
      </c>
      <c r="CR80" s="10"/>
      <c r="CS80" s="4"/>
      <c r="CT80" s="4"/>
      <c r="CU80" s="4">
        <v>7455</v>
      </c>
      <c r="CV80" s="4">
        <v>23267</v>
      </c>
      <c r="CW80" s="4"/>
      <c r="CX80" s="4"/>
      <c r="CY80" s="77">
        <f t="shared" si="46"/>
        <v>9.1361545726692268E-3</v>
      </c>
      <c r="CZ80" s="8">
        <f t="shared" si="61"/>
        <v>541713.37</v>
      </c>
      <c r="DA80" s="2"/>
      <c r="DD80" s="1">
        <v>7544</v>
      </c>
      <c r="DH80" s="4"/>
      <c r="DJ80" s="4"/>
      <c r="DL80" s="1">
        <v>15222</v>
      </c>
      <c r="DM80" s="1">
        <v>13574</v>
      </c>
      <c r="DN80" s="1">
        <v>15381</v>
      </c>
      <c r="DP80" s="1">
        <v>14325</v>
      </c>
      <c r="DQ80" s="1">
        <v>15969</v>
      </c>
      <c r="DR80" s="1">
        <v>9558</v>
      </c>
      <c r="DU80" s="1">
        <v>14473</v>
      </c>
      <c r="DX80" s="2"/>
      <c r="DY80" s="32"/>
      <c r="DZ80" s="4">
        <v>143</v>
      </c>
      <c r="EA80" s="32"/>
      <c r="EB80" s="32"/>
      <c r="EC80" s="32"/>
      <c r="ED80" s="32"/>
      <c r="EE80" s="4">
        <v>14903</v>
      </c>
      <c r="EF80" s="4">
        <v>14256</v>
      </c>
      <c r="EG80" s="32"/>
      <c r="EH80" s="32"/>
      <c r="EI80" s="32"/>
      <c r="EJ80" s="32"/>
      <c r="EK80" s="5"/>
      <c r="EO80" s="2"/>
      <c r="EQ80" s="468" t="s">
        <v>1</v>
      </c>
      <c r="ER80"/>
      <c r="ES80" s="6" t="s">
        <v>378</v>
      </c>
      <c r="ET80" s="10"/>
      <c r="EU80" s="10"/>
      <c r="EV80" s="10"/>
      <c r="EW80" s="10"/>
      <c r="EX80" s="4">
        <f>5933-4000</f>
        <v>1933</v>
      </c>
      <c r="EY80" s="4"/>
      <c r="EZ80" s="4"/>
      <c r="FA80" s="4"/>
      <c r="FB80" s="4"/>
      <c r="FC80" s="4">
        <v>17354</v>
      </c>
      <c r="FD80" s="4"/>
      <c r="FE80" s="4"/>
      <c r="FF80" s="4"/>
      <c r="FG80" s="4"/>
      <c r="FH80" s="10"/>
      <c r="FI80" s="10"/>
      <c r="FJ80" s="10"/>
      <c r="FK80" s="10"/>
      <c r="FL80" s="10"/>
      <c r="FM80" s="10"/>
      <c r="FN80" s="4"/>
      <c r="FO80" s="4"/>
      <c r="FP80" s="10"/>
      <c r="FQ80" s="4"/>
      <c r="FR80" s="4"/>
      <c r="FS80" s="10"/>
      <c r="FT80" s="4">
        <v>24944</v>
      </c>
      <c r="FU80" s="4">
        <v>19227</v>
      </c>
      <c r="FV80" s="4">
        <v>23381</v>
      </c>
      <c r="FW80" s="4">
        <v>21350</v>
      </c>
      <c r="FX80" s="4">
        <v>7834</v>
      </c>
      <c r="FY80" s="4">
        <v>27991</v>
      </c>
      <c r="FZ80" s="10"/>
      <c r="GA80" s="10"/>
      <c r="GB80" s="10"/>
      <c r="GC80" s="10"/>
      <c r="GD80" s="4">
        <v>24150</v>
      </c>
      <c r="GE80" s="4">
        <v>18944</v>
      </c>
      <c r="GF80" s="4">
        <v>11141</v>
      </c>
      <c r="GG80" s="4"/>
      <c r="GH80" s="4"/>
      <c r="GI80" s="4"/>
      <c r="GJ80" s="4">
        <v>25750</v>
      </c>
      <c r="GK80" s="4"/>
      <c r="GL80" s="4"/>
      <c r="GM80" s="4"/>
      <c r="GN80" s="10"/>
      <c r="GO80" s="10"/>
      <c r="GP80" s="4"/>
      <c r="GQ80" s="10"/>
      <c r="GR80" s="4">
        <v>19516</v>
      </c>
      <c r="GS80" s="10"/>
      <c r="GT80" s="4"/>
      <c r="GU80" s="10"/>
      <c r="GV80" s="4"/>
      <c r="GW80" s="10"/>
      <c r="GX80" s="10">
        <v>16500</v>
      </c>
      <c r="GY80" s="10"/>
      <c r="GZ80" s="10"/>
      <c r="HA80" s="18"/>
      <c r="HB80" s="4"/>
      <c r="HC80" s="77">
        <f t="shared" si="22"/>
        <v>3.8724074560252033E-3</v>
      </c>
      <c r="HD80" s="8">
        <f t="shared" si="51"/>
        <v>260015</v>
      </c>
      <c r="HE80" s="2"/>
      <c r="HF80" s="3" t="s">
        <v>384</v>
      </c>
      <c r="HG80" s="4">
        <v>13614</v>
      </c>
      <c r="HH80" s="4"/>
      <c r="HI80" s="4">
        <v>18117</v>
      </c>
      <c r="HJ80" s="4"/>
      <c r="HK80" s="4"/>
      <c r="HL80" s="4"/>
      <c r="HM80" s="4"/>
      <c r="HN80" s="4">
        <v>23237</v>
      </c>
      <c r="HO80" s="4">
        <v>25050</v>
      </c>
      <c r="HP80" s="4"/>
      <c r="HQ80" s="4"/>
      <c r="HR80" s="4"/>
      <c r="HS80" s="4"/>
      <c r="HT80" s="10"/>
      <c r="HU80" s="10"/>
      <c r="HV80" s="4"/>
      <c r="HW80" s="4"/>
      <c r="HX80" s="4"/>
      <c r="HY80" s="4"/>
      <c r="HZ80" s="4">
        <v>25379</v>
      </c>
      <c r="IA80" s="4">
        <v>17170</v>
      </c>
      <c r="IB80" s="4"/>
      <c r="IC80" s="4">
        <v>20632</v>
      </c>
      <c r="ID80" s="10"/>
      <c r="IE80" s="4">
        <v>18151</v>
      </c>
      <c r="IF80" s="10"/>
      <c r="IG80" s="4"/>
      <c r="IH80" s="4"/>
      <c r="II80" s="4"/>
      <c r="IJ80" s="4">
        <v>23036</v>
      </c>
      <c r="IK80" s="4"/>
      <c r="IL80" s="4"/>
      <c r="IM80" s="4">
        <v>28940</v>
      </c>
      <c r="IN80" s="4"/>
      <c r="IO80" s="4"/>
      <c r="IP80" s="4">
        <v>19571</v>
      </c>
      <c r="IQ80" s="4"/>
      <c r="IR80" s="4"/>
      <c r="IS80" s="4"/>
      <c r="IT80" s="10"/>
      <c r="IU80" s="4"/>
      <c r="IV80" s="4"/>
      <c r="IW80" s="4">
        <v>20776</v>
      </c>
      <c r="IX80" s="10"/>
      <c r="IY80" s="4">
        <v>16537</v>
      </c>
      <c r="IZ80" s="4">
        <v>21116</v>
      </c>
      <c r="JA80" s="4"/>
      <c r="JB80" s="4"/>
      <c r="JC80" s="4"/>
      <c r="JD80" s="4"/>
      <c r="JE80" s="4"/>
      <c r="JF80" s="10"/>
      <c r="JG80" s="10"/>
      <c r="JH80" s="10"/>
      <c r="JI80" s="4">
        <v>20414</v>
      </c>
      <c r="JJ80" s="4"/>
      <c r="JK80" s="4">
        <v>21421</v>
      </c>
      <c r="JL80" s="4"/>
      <c r="JM80" s="4"/>
      <c r="JN80" s="10"/>
      <c r="JO80" s="10"/>
      <c r="JP80" s="4"/>
      <c r="JQ80" s="4"/>
      <c r="JR80" s="4"/>
      <c r="JS80" s="4">
        <v>16143</v>
      </c>
      <c r="JT80" s="4">
        <v>23498</v>
      </c>
      <c r="JU80" s="10"/>
      <c r="JV80" s="4"/>
      <c r="JW80" s="4"/>
      <c r="JX80" s="4">
        <v>24976</v>
      </c>
      <c r="JY80" s="4"/>
      <c r="JZ80" s="4">
        <v>17607</v>
      </c>
      <c r="KA80" s="4"/>
      <c r="KB80" s="4"/>
      <c r="KC80" s="4">
        <v>19474</v>
      </c>
      <c r="KD80" s="10"/>
      <c r="KE80" s="10"/>
      <c r="KF80" s="10"/>
      <c r="KG80" s="4"/>
      <c r="KH80" s="10"/>
      <c r="KI80" s="10"/>
      <c r="KJ80" s="10"/>
      <c r="KK80" s="10"/>
      <c r="KL80" s="4">
        <v>16287</v>
      </c>
      <c r="KM80" s="10"/>
      <c r="KN80" s="4"/>
      <c r="KO80" s="4"/>
      <c r="KP80" s="4">
        <v>7455</v>
      </c>
      <c r="KQ80" s="4">
        <v>23267</v>
      </c>
      <c r="KR80" s="10"/>
      <c r="KS80" s="4">
        <v>24000</v>
      </c>
      <c r="KT80" s="4">
        <v>10904</v>
      </c>
      <c r="KU80" s="4"/>
      <c r="KV80" s="4"/>
      <c r="KW80" s="4"/>
      <c r="KX80" s="18"/>
      <c r="KY80" s="4"/>
      <c r="KZ80" s="77">
        <f t="shared" si="23"/>
        <v>9.7798412168037408E-3</v>
      </c>
      <c r="LA80" s="8">
        <f t="shared" si="62"/>
        <v>516772</v>
      </c>
      <c r="LB80" s="2"/>
      <c r="LC80" s="43"/>
      <c r="LD80" s="1">
        <v>3535</v>
      </c>
      <c r="LG80" s="1">
        <v>7544</v>
      </c>
      <c r="LI80" s="1">
        <v>7340</v>
      </c>
      <c r="LU80" s="1">
        <v>15320</v>
      </c>
      <c r="LY80" s="1">
        <v>7512</v>
      </c>
      <c r="MB80" s="1">
        <v>6925</v>
      </c>
      <c r="MD80" s="1">
        <v>15222</v>
      </c>
      <c r="ME80" s="1">
        <v>6757</v>
      </c>
      <c r="MH80" s="1">
        <v>5757</v>
      </c>
      <c r="MI80" s="1">
        <v>13574</v>
      </c>
      <c r="ML80" s="1">
        <v>6946</v>
      </c>
      <c r="MM80" s="1">
        <v>6394</v>
      </c>
      <c r="MN80" s="1">
        <v>6408</v>
      </c>
      <c r="MO80" s="172">
        <v>6695</v>
      </c>
      <c r="MP80" s="1">
        <v>5768</v>
      </c>
      <c r="MR80" s="1">
        <v>7533</v>
      </c>
      <c r="MT80" s="1">
        <v>15381</v>
      </c>
      <c r="MV80" s="1">
        <v>14325</v>
      </c>
      <c r="MW80" s="1">
        <v>4589</v>
      </c>
      <c r="MX80" s="1">
        <v>15969</v>
      </c>
      <c r="NC80" s="1">
        <v>9558</v>
      </c>
      <c r="NF80" s="1">
        <v>14473</v>
      </c>
      <c r="NG80" s="1">
        <v>7869</v>
      </c>
      <c r="NH80" s="1">
        <v>5972</v>
      </c>
      <c r="NI80" s="1">
        <v>15045</v>
      </c>
      <c r="NK80" s="1">
        <v>7700</v>
      </c>
      <c r="NM80" s="1">
        <v>7455</v>
      </c>
      <c r="NO80" s="77"/>
      <c r="NP80" s="63"/>
      <c r="NQ80"/>
      <c r="NR80" s="77">
        <f t="shared" si="24"/>
        <v>-4.8448438749061314E-4</v>
      </c>
      <c r="NS80" s="8">
        <f t="shared" si="42"/>
        <v>247566</v>
      </c>
      <c r="NT80" s="2"/>
      <c r="NU80" s="40" t="s">
        <v>306</v>
      </c>
      <c r="NV80" s="4">
        <v>143</v>
      </c>
      <c r="NW80" s="4"/>
      <c r="NX80" s="4"/>
      <c r="NY80" s="4"/>
      <c r="NZ80" s="4"/>
      <c r="OA80" s="4">
        <v>14903</v>
      </c>
      <c r="OB80" s="4">
        <v>14256</v>
      </c>
      <c r="OC80" s="4"/>
      <c r="OD80" s="4"/>
      <c r="OE80" s="77">
        <f t="shared" si="25"/>
        <v>-4.0254167894926467E-2</v>
      </c>
      <c r="OF80" s="8">
        <f t="shared" si="71"/>
        <v>29302</v>
      </c>
      <c r="OG80" s="2"/>
      <c r="OH80" s="40" t="s">
        <v>306</v>
      </c>
      <c r="OI80" s="1">
        <v>82</v>
      </c>
      <c r="OJ80" s="40"/>
      <c r="OK80" s="40"/>
      <c r="OL80" s="40"/>
      <c r="OM80" s="40"/>
      <c r="ON80" s="40"/>
      <c r="OO80" s="40"/>
      <c r="OP80" s="1">
        <v>30721</v>
      </c>
      <c r="OQ80" s="40"/>
      <c r="OR80" s="77">
        <f t="shared" si="48"/>
        <v>1.7887342266163654E-3</v>
      </c>
      <c r="OS80" s="8">
        <f t="shared" si="49"/>
        <v>30803</v>
      </c>
      <c r="OT80" s="37"/>
      <c r="OU80" s="126">
        <f t="shared" si="65"/>
        <v>818426.37</v>
      </c>
      <c r="OV80" s="71">
        <f t="shared" ref="OV80:OV111" si="73">IF(A80="","",(OU80-OU79)/OU79)</f>
        <v>9.8718081601528035E-3</v>
      </c>
      <c r="OW80" s="139">
        <f>IF(A80="","",SUM(Z$17:Z80))</f>
        <v>20000</v>
      </c>
      <c r="OX80" s="139">
        <f t="shared" si="52"/>
        <v>836925.37</v>
      </c>
      <c r="OY80" s="132">
        <f t="shared" si="53"/>
        <v>0.17283950565381473</v>
      </c>
      <c r="OZ80" s="140">
        <f t="shared" si="66"/>
        <v>1053655</v>
      </c>
      <c r="PA80" s="84">
        <f t="shared" si="47"/>
        <v>4.4413896716479374E-3</v>
      </c>
      <c r="PB80" s="130">
        <f>IF(A80="","",SUM(HB$17:HB80)+SUM(KY$17:KY80))</f>
        <v>115756.47</v>
      </c>
      <c r="PC80" s="131">
        <f t="shared" si="54"/>
        <v>892543.47</v>
      </c>
      <c r="PD80" s="132">
        <f t="shared" si="55"/>
        <v>0.35127190505676575</v>
      </c>
      <c r="PE80" s="133">
        <f t="shared" si="67"/>
        <v>776787</v>
      </c>
      <c r="PF80" s="84">
        <f t="shared" si="69"/>
        <v>7.7947115839948934E-3</v>
      </c>
      <c r="PG80" s="133">
        <f t="shared" si="68"/>
        <v>1095294.3700000001</v>
      </c>
      <c r="PH80" s="84">
        <f t="shared" si="70"/>
        <v>6.1097807086437994E-3</v>
      </c>
      <c r="PI80" s="135">
        <f t="shared" si="56"/>
        <v>1872081.37</v>
      </c>
      <c r="PJ80" s="136">
        <f t="shared" ref="PJ80:PJ109" si="74">IF(PI80="","",(PI80-PI79)/PI79)</f>
        <v>6.8082285785583431E-3</v>
      </c>
      <c r="PK80" s="123">
        <f t="shared" si="72"/>
        <v>0.33365726070726365</v>
      </c>
      <c r="PL80" s="137">
        <f t="shared" si="57"/>
        <v>135756.47</v>
      </c>
      <c r="PM80" s="9">
        <f t="shared" si="58"/>
        <v>1729468.8399999999</v>
      </c>
      <c r="PN80" s="138">
        <f t="shared" si="59"/>
        <v>0.25861018404640085</v>
      </c>
      <c r="PO80" s="86">
        <f>IF(PI80="","",MAX(PI$15:PI80))</f>
        <v>1872081.37</v>
      </c>
      <c r="PP80" s="113">
        <f t="shared" ref="PP80:PP109" si="75">IF(PI80="","",(PI80-PO80)/PI80)</f>
        <v>0</v>
      </c>
      <c r="PQ80" s="41"/>
      <c r="PR80" s="302"/>
    </row>
    <row r="81" spans="1:434" s="1" customFormat="1" ht="15" customHeight="1" x14ac:dyDescent="0.45">
      <c r="A81" s="18">
        <v>44471</v>
      </c>
      <c r="B81" s="29" t="s">
        <v>306</v>
      </c>
      <c r="C81" s="4">
        <v>51248</v>
      </c>
      <c r="D81" s="10"/>
      <c r="E81" s="10"/>
      <c r="F81" s="10"/>
      <c r="G81" s="4"/>
      <c r="H81" s="4"/>
      <c r="I81" s="4">
        <v>24170</v>
      </c>
      <c r="J81" s="4">
        <v>18534</v>
      </c>
      <c r="K81" s="4">
        <v>21155</v>
      </c>
      <c r="L81" s="4">
        <v>29248</v>
      </c>
      <c r="M81" s="4">
        <v>23128</v>
      </c>
      <c r="N81" s="4"/>
      <c r="O81" s="10"/>
      <c r="P81" s="4">
        <v>77141</v>
      </c>
      <c r="Q81" s="4"/>
      <c r="R81" s="4"/>
      <c r="S81" s="4"/>
      <c r="T81" s="4"/>
      <c r="U81" s="10"/>
      <c r="V81" s="10"/>
      <c r="W81" s="10"/>
      <c r="X81" s="4"/>
      <c r="Y81" s="18" t="str">
        <f t="shared" si="64"/>
        <v/>
      </c>
      <c r="Z81" s="4"/>
      <c r="AA81" s="77">
        <f t="shared" si="21"/>
        <v>-5.2295555284453659E-3</v>
      </c>
      <c r="AB81" s="8">
        <f t="shared" si="60"/>
        <v>244624</v>
      </c>
      <c r="AC81" s="2"/>
      <c r="AD81" s="3" t="s">
        <v>306</v>
      </c>
      <c r="AE81" s="4">
        <v>38605</v>
      </c>
      <c r="AF81" s="4">
        <v>253436</v>
      </c>
      <c r="AG81" s="4"/>
      <c r="AH81" s="4"/>
      <c r="AJ81" s="4"/>
      <c r="AK81" s="4"/>
      <c r="AL81" s="4">
        <v>25084</v>
      </c>
      <c r="AM81" s="4"/>
      <c r="AN81" s="1">
        <v>7210</v>
      </c>
      <c r="AO81" s="4"/>
      <c r="AP81" s="10"/>
      <c r="AQ81" s="4"/>
      <c r="AR81" s="4"/>
      <c r="AS81" s="4"/>
      <c r="AT81" s="4">
        <v>36304</v>
      </c>
      <c r="AU81" s="4"/>
      <c r="AW81" s="4"/>
      <c r="AX81" s="4"/>
      <c r="AY81" s="4"/>
      <c r="AZ81" s="4"/>
      <c r="BA81" s="4"/>
      <c r="BB81" s="4"/>
      <c r="BC81" s="4"/>
      <c r="BD81" s="4"/>
      <c r="BE81" s="4">
        <v>21847</v>
      </c>
      <c r="BF81" s="4"/>
      <c r="BG81" s="1">
        <v>7566</v>
      </c>
      <c r="BH81" s="4"/>
      <c r="BI81" s="4"/>
      <c r="BJ81" s="4">
        <v>19792</v>
      </c>
      <c r="BK81" s="4"/>
      <c r="BL81" s="4"/>
      <c r="BM81" s="4"/>
      <c r="BN81" s="4"/>
      <c r="BO81" s="4"/>
      <c r="BP81" s="4"/>
      <c r="BQ81" s="4"/>
      <c r="BR81" s="1">
        <v>6362</v>
      </c>
      <c r="BS81" s="10"/>
      <c r="BT81" s="4"/>
      <c r="BU81" s="4"/>
      <c r="BV81" s="4"/>
      <c r="BW81" s="4"/>
      <c r="BX81" s="1">
        <v>6046</v>
      </c>
      <c r="BY81" s="1">
        <v>6281</v>
      </c>
      <c r="CA81" s="4"/>
      <c r="CB81" s="4"/>
      <c r="CC81" s="4"/>
      <c r="CD81" s="4"/>
      <c r="CE81" s="4"/>
      <c r="CF81" s="4">
        <v>34295</v>
      </c>
      <c r="CG81" s="4"/>
      <c r="CH81" s="4">
        <v>23546</v>
      </c>
      <c r="CI81" s="4"/>
      <c r="CJ81" s="10"/>
      <c r="CK81" s="4"/>
      <c r="CL81" s="10"/>
      <c r="CM81" s="1">
        <v>7596</v>
      </c>
      <c r="CN81" s="4"/>
      <c r="CO81" s="10"/>
      <c r="CP81" s="4"/>
      <c r="CQ81" s="4">
        <v>15483</v>
      </c>
      <c r="CR81" s="10"/>
      <c r="CS81" s="4"/>
      <c r="CT81" s="4"/>
      <c r="CU81" s="4">
        <v>7410</v>
      </c>
      <c r="CV81" s="4">
        <v>22476</v>
      </c>
      <c r="CW81" s="4"/>
      <c r="CX81" s="4"/>
      <c r="CY81" s="77">
        <f t="shared" ref="CY81:CY112" si="76">IF($A81="","",(CZ81-CZ80)/CZ80)</f>
        <v>-4.3830743922750057E-3</v>
      </c>
      <c r="CZ81" s="8">
        <f t="shared" si="61"/>
        <v>539339</v>
      </c>
      <c r="DA81" s="2"/>
      <c r="DD81" s="1">
        <v>7475</v>
      </c>
      <c r="DH81" s="4"/>
      <c r="DJ81" s="4"/>
      <c r="DL81" s="1">
        <v>15212</v>
      </c>
      <c r="DM81" s="1">
        <v>13535</v>
      </c>
      <c r="DN81" s="1">
        <v>15363</v>
      </c>
      <c r="DP81" s="1">
        <v>14203</v>
      </c>
      <c r="DQ81" s="1">
        <v>15816</v>
      </c>
      <c r="DR81" s="1">
        <v>9467</v>
      </c>
      <c r="DU81" s="1">
        <v>14427</v>
      </c>
      <c r="DX81" s="2"/>
      <c r="DY81" s="32"/>
      <c r="DZ81" s="4">
        <v>187</v>
      </c>
      <c r="EA81" s="32"/>
      <c r="EB81" s="32"/>
      <c r="EC81" s="32"/>
      <c r="ED81" s="32"/>
      <c r="EE81" s="4">
        <v>14756</v>
      </c>
      <c r="EF81" s="4">
        <v>14212</v>
      </c>
      <c r="EG81" s="32"/>
      <c r="EH81" s="32"/>
      <c r="EI81" s="32"/>
      <c r="EJ81" s="32"/>
      <c r="EK81" s="5"/>
      <c r="EO81" s="2"/>
      <c r="EQ81" s="468" t="s">
        <v>1</v>
      </c>
      <c r="ER81"/>
      <c r="ES81" s="6" t="s">
        <v>378</v>
      </c>
      <c r="ET81" s="10"/>
      <c r="EU81" s="10"/>
      <c r="EV81" s="10"/>
      <c r="EW81" s="10"/>
      <c r="EX81" s="4">
        <v>1473</v>
      </c>
      <c r="EY81" s="4"/>
      <c r="EZ81" s="4"/>
      <c r="FA81" s="4"/>
      <c r="FB81" s="4"/>
      <c r="FC81" s="4">
        <v>16416</v>
      </c>
      <c r="FD81" s="4"/>
      <c r="FE81" s="4"/>
      <c r="FF81" s="4"/>
      <c r="FG81" s="4"/>
      <c r="FH81" s="10"/>
      <c r="FI81" s="10"/>
      <c r="FJ81" s="10"/>
      <c r="FK81" s="10"/>
      <c r="FL81" s="10"/>
      <c r="FM81" s="10"/>
      <c r="FN81" s="4"/>
      <c r="FO81" s="4"/>
      <c r="FP81" s="10"/>
      <c r="FQ81" s="4"/>
      <c r="FR81" s="4"/>
      <c r="FS81" s="10"/>
      <c r="FT81" s="4">
        <v>24170</v>
      </c>
      <c r="FU81" s="4">
        <v>18534</v>
      </c>
      <c r="FV81" s="4">
        <v>22724</v>
      </c>
      <c r="FW81" s="4">
        <v>21155</v>
      </c>
      <c r="FX81" s="4">
        <v>7553</v>
      </c>
      <c r="FY81" s="4">
        <v>29248</v>
      </c>
      <c r="FZ81" s="10"/>
      <c r="GA81" s="10"/>
      <c r="GB81" s="10"/>
      <c r="GC81" s="10"/>
      <c r="GD81" s="4">
        <v>23128</v>
      </c>
      <c r="GE81" s="4">
        <v>18074</v>
      </c>
      <c r="GF81" s="4">
        <v>8077</v>
      </c>
      <c r="GG81" s="4"/>
      <c r="GH81" s="4"/>
      <c r="GI81" s="4"/>
      <c r="GJ81" s="4">
        <v>24020</v>
      </c>
      <c r="GK81" s="4"/>
      <c r="GL81" s="4"/>
      <c r="GM81" s="4"/>
      <c r="GN81" s="10"/>
      <c r="GO81" s="10"/>
      <c r="GP81" s="4"/>
      <c r="GQ81" s="10"/>
      <c r="GR81" s="4">
        <v>18157</v>
      </c>
      <c r="GS81" s="10"/>
      <c r="GT81" s="4"/>
      <c r="GU81" s="10"/>
      <c r="GV81" s="4"/>
      <c r="GW81" s="10"/>
      <c r="GX81" s="10">
        <v>16290</v>
      </c>
      <c r="GY81" s="10"/>
      <c r="GZ81" s="10"/>
      <c r="HA81" s="18"/>
      <c r="HB81" s="4"/>
      <c r="HC81" s="77">
        <f t="shared" si="22"/>
        <v>-4.2289867892236988E-2</v>
      </c>
      <c r="HD81" s="8">
        <f t="shared" si="51"/>
        <v>249019</v>
      </c>
      <c r="HE81" s="2"/>
      <c r="HF81" s="3" t="s">
        <v>385</v>
      </c>
      <c r="HG81" s="4">
        <f>14221+136.8</f>
        <v>14357.8</v>
      </c>
      <c r="HH81" s="4"/>
      <c r="HI81" s="4">
        <v>16364</v>
      </c>
      <c r="HJ81" s="4"/>
      <c r="HK81" s="4"/>
      <c r="HL81" s="4"/>
      <c r="HM81" s="4"/>
      <c r="HN81" s="4">
        <v>25084</v>
      </c>
      <c r="HO81" s="4">
        <v>25848</v>
      </c>
      <c r="HP81" s="4"/>
      <c r="HQ81" s="4"/>
      <c r="HR81" s="4"/>
      <c r="HS81" s="4"/>
      <c r="HT81" s="10"/>
      <c r="HU81" s="10"/>
      <c r="HV81" s="4"/>
      <c r="HW81" s="4"/>
      <c r="HX81" s="4"/>
      <c r="HY81" s="4"/>
      <c r="HZ81" s="4">
        <v>23551</v>
      </c>
      <c r="IA81" s="4">
        <v>16936</v>
      </c>
      <c r="IB81" s="4"/>
      <c r="IC81" s="4">
        <v>19262</v>
      </c>
      <c r="ID81" s="10"/>
      <c r="IE81" s="4">
        <v>25128</v>
      </c>
      <c r="IF81" s="10"/>
      <c r="IG81" s="4"/>
      <c r="IH81" s="4"/>
      <c r="II81" s="4"/>
      <c r="IJ81" s="4">
        <v>22795</v>
      </c>
      <c r="IK81" s="4"/>
      <c r="IL81" s="4"/>
      <c r="IM81" s="4">
        <v>21847</v>
      </c>
      <c r="IN81" s="4"/>
      <c r="IO81" s="4"/>
      <c r="IP81" s="4">
        <v>19792</v>
      </c>
      <c r="IQ81" s="4"/>
      <c r="IR81" s="4"/>
      <c r="IS81" s="4"/>
      <c r="IT81" s="10"/>
      <c r="IU81" s="4"/>
      <c r="IV81" s="4"/>
      <c r="IW81" s="4">
        <v>19256</v>
      </c>
      <c r="IX81" s="10"/>
      <c r="IY81" s="4">
        <v>15862</v>
      </c>
      <c r="IZ81" s="4">
        <v>19883</v>
      </c>
      <c r="JA81" s="4"/>
      <c r="JB81" s="4"/>
      <c r="JC81" s="4"/>
      <c r="JD81" s="4"/>
      <c r="JE81" s="4"/>
      <c r="JF81" s="10"/>
      <c r="JG81" s="10"/>
      <c r="JH81" s="10"/>
      <c r="JI81" s="4">
        <v>20002</v>
      </c>
      <c r="JJ81" s="4"/>
      <c r="JK81" s="4">
        <v>19435</v>
      </c>
      <c r="JL81" s="4"/>
      <c r="JM81" s="4"/>
      <c r="JN81" s="10"/>
      <c r="JO81" s="10"/>
      <c r="JP81" s="4"/>
      <c r="JQ81" s="4"/>
      <c r="JR81" s="4"/>
      <c r="JS81" s="4">
        <v>15378</v>
      </c>
      <c r="JT81" s="4">
        <v>22584</v>
      </c>
      <c r="JU81" s="10"/>
      <c r="JV81" s="4"/>
      <c r="JW81" s="4"/>
      <c r="JX81" s="4">
        <v>23546</v>
      </c>
      <c r="JY81" s="4"/>
      <c r="JZ81" s="4">
        <v>16334</v>
      </c>
      <c r="KA81" s="4"/>
      <c r="KB81" s="4"/>
      <c r="KC81" s="4">
        <v>19589</v>
      </c>
      <c r="KD81" s="10"/>
      <c r="KE81" s="10"/>
      <c r="KF81" s="10"/>
      <c r="KG81" s="4"/>
      <c r="KH81" s="10"/>
      <c r="KI81" s="10"/>
      <c r="KJ81" s="10"/>
      <c r="KK81" s="10"/>
      <c r="KL81" s="4">
        <v>15483</v>
      </c>
      <c r="KM81" s="10"/>
      <c r="KN81" s="4"/>
      <c r="KO81" s="4"/>
      <c r="KP81" s="4">
        <v>7410</v>
      </c>
      <c r="KQ81" s="4">
        <v>22476</v>
      </c>
      <c r="KR81" s="10"/>
      <c r="KS81" s="4">
        <v>23844</v>
      </c>
      <c r="KT81" s="4">
        <v>12186</v>
      </c>
      <c r="KU81" s="4"/>
      <c r="KV81" s="4"/>
      <c r="KW81" s="4"/>
      <c r="KX81" s="18"/>
      <c r="KY81" s="4"/>
      <c r="KZ81" s="77">
        <f t="shared" si="23"/>
        <v>-2.4264472533341613E-2</v>
      </c>
      <c r="LA81" s="8">
        <f t="shared" si="62"/>
        <v>504232.8</v>
      </c>
      <c r="LB81" s="2"/>
      <c r="LC81" s="43" t="s">
        <v>386</v>
      </c>
      <c r="LD81" s="1">
        <v>4251</v>
      </c>
      <c r="LG81" s="1">
        <v>7475</v>
      </c>
      <c r="LI81" s="1">
        <v>7210</v>
      </c>
      <c r="LU81" s="1">
        <v>15325</v>
      </c>
      <c r="LY81" s="1">
        <v>7566</v>
      </c>
      <c r="MB81" s="1">
        <v>6419</v>
      </c>
      <c r="MD81" s="1">
        <v>15212</v>
      </c>
      <c r="ME81" s="1">
        <v>6362</v>
      </c>
      <c r="MH81" s="1">
        <v>5565</v>
      </c>
      <c r="MI81" s="1">
        <v>13535</v>
      </c>
      <c r="ML81" s="1">
        <v>6627</v>
      </c>
      <c r="MM81" s="1">
        <v>6046</v>
      </c>
      <c r="MN81" s="1">
        <v>6281</v>
      </c>
      <c r="MO81" s="172">
        <v>6245</v>
      </c>
      <c r="MR81" s="1">
        <v>6998</v>
      </c>
      <c r="MT81" s="1">
        <v>15363</v>
      </c>
      <c r="MV81" s="1">
        <v>14203</v>
      </c>
      <c r="MW81" s="1">
        <v>4552</v>
      </c>
      <c r="MX81" s="1">
        <v>15816</v>
      </c>
      <c r="NC81" s="1">
        <v>9467</v>
      </c>
      <c r="NF81" s="1">
        <v>14427</v>
      </c>
      <c r="NG81" s="1">
        <v>7596</v>
      </c>
      <c r="NH81" s="1">
        <v>5677</v>
      </c>
      <c r="NI81" s="1">
        <v>15042</v>
      </c>
      <c r="NK81" s="1">
        <v>7602</v>
      </c>
      <c r="NL81" s="1">
        <v>5257</v>
      </c>
      <c r="NM81" s="1">
        <v>7410</v>
      </c>
      <c r="NO81" s="77"/>
      <c r="NP81" s="63"/>
      <c r="NQ81"/>
      <c r="NR81" s="77">
        <f t="shared" si="24"/>
        <v>-1.6306762641073492E-2</v>
      </c>
      <c r="NS81" s="8">
        <f t="shared" si="42"/>
        <v>243529</v>
      </c>
      <c r="NT81" s="2"/>
      <c r="NU81" s="40" t="s">
        <v>306</v>
      </c>
      <c r="NV81" s="4">
        <v>187</v>
      </c>
      <c r="NW81" s="4"/>
      <c r="NX81" s="4"/>
      <c r="NY81" s="4"/>
      <c r="NZ81" s="4"/>
      <c r="OA81" s="4">
        <v>14756</v>
      </c>
      <c r="OB81" s="4">
        <v>14212</v>
      </c>
      <c r="OC81" s="4"/>
      <c r="OD81" s="4"/>
      <c r="OE81" s="77">
        <f t="shared" si="25"/>
        <v>-5.016722408026756E-3</v>
      </c>
      <c r="OF81" s="8">
        <f t="shared" si="71"/>
        <v>29155</v>
      </c>
      <c r="OG81" s="2"/>
      <c r="OH81" s="40" t="s">
        <v>306</v>
      </c>
      <c r="OI81" s="1">
        <v>82</v>
      </c>
      <c r="OJ81" s="40"/>
      <c r="OK81" s="40"/>
      <c r="OL81" s="40"/>
      <c r="OM81" s="40"/>
      <c r="ON81" s="40"/>
      <c r="OO81" s="40"/>
      <c r="OP81" s="1">
        <v>30776</v>
      </c>
      <c r="OQ81" s="40"/>
      <c r="OR81" s="77">
        <f t="shared" si="48"/>
        <v>1.7855403694445346E-3</v>
      </c>
      <c r="OS81" s="8">
        <f t="shared" si="49"/>
        <v>30858</v>
      </c>
      <c r="OT81" s="37"/>
      <c r="OU81" s="126">
        <f t="shared" si="65"/>
        <v>814821</v>
      </c>
      <c r="OV81" s="71">
        <f t="shared" si="73"/>
        <v>-4.4052466198028243E-3</v>
      </c>
      <c r="OW81" s="139">
        <f>IF(A81="","",SUM(Z$17:Z81))</f>
        <v>20000</v>
      </c>
      <c r="OX81" s="139">
        <f t="shared" si="52"/>
        <v>833118</v>
      </c>
      <c r="OY81" s="132">
        <f t="shared" si="53"/>
        <v>0.1675039833853941</v>
      </c>
      <c r="OZ81" s="140">
        <f t="shared" si="66"/>
        <v>1025935.8</v>
      </c>
      <c r="PA81" s="84">
        <f t="shared" ref="PA81:PA112" si="77">IF(A81="","",(OZ81-OZ80)/OZ80)</f>
        <v>-2.6307662375255614E-2</v>
      </c>
      <c r="PB81" s="130">
        <f>IF(A81="","",SUM(HB$17:HB81)+SUM(KY$17:KY81))</f>
        <v>115756.47</v>
      </c>
      <c r="PC81" s="131">
        <f t="shared" si="54"/>
        <v>869008.27</v>
      </c>
      <c r="PD81" s="132">
        <f t="shared" si="55"/>
        <v>0.315640638223463</v>
      </c>
      <c r="PE81" s="133">
        <f t="shared" si="67"/>
        <v>753251.8</v>
      </c>
      <c r="PF81" s="84">
        <f t="shared" si="69"/>
        <v>-3.0298138357104269E-2</v>
      </c>
      <c r="PG81" s="133">
        <f t="shared" si="68"/>
        <v>1087505</v>
      </c>
      <c r="PH81" s="84">
        <f t="shared" si="70"/>
        <v>-7.1116680714793691E-3</v>
      </c>
      <c r="PI81" s="135">
        <f t="shared" si="56"/>
        <v>1840756.8</v>
      </c>
      <c r="PJ81" s="136">
        <f t="shared" si="74"/>
        <v>-1.6732483161242113E-2</v>
      </c>
      <c r="PK81" s="123">
        <f t="shared" si="72"/>
        <v>0.31805150124992282</v>
      </c>
      <c r="PL81" s="137">
        <f t="shared" si="57"/>
        <v>135756.47</v>
      </c>
      <c r="PM81" s="9">
        <f t="shared" si="58"/>
        <v>1702126.27</v>
      </c>
      <c r="PN81" s="138">
        <f t="shared" si="59"/>
        <v>0.23871179890983985</v>
      </c>
      <c r="PO81" s="86">
        <f>IF(PI81="","",MAX(PI$15:PI81))</f>
        <v>1872081.37</v>
      </c>
      <c r="PP81" s="113">
        <f t="shared" si="75"/>
        <v>-1.7017223568045525E-2</v>
      </c>
      <c r="PQ81" s="41"/>
      <c r="PR81" s="302"/>
    </row>
    <row r="82" spans="1:434" s="1" customFormat="1" ht="15" customHeight="1" x14ac:dyDescent="0.45">
      <c r="A82" s="18">
        <v>44502</v>
      </c>
      <c r="B82" s="29" t="s">
        <v>306</v>
      </c>
      <c r="C82" s="4">
        <v>51248</v>
      </c>
      <c r="D82" s="10"/>
      <c r="E82" s="10"/>
      <c r="F82" s="10"/>
      <c r="G82" s="4"/>
      <c r="H82" s="4"/>
      <c r="I82" s="4">
        <v>25038</v>
      </c>
      <c r="J82" s="4">
        <v>18710</v>
      </c>
      <c r="K82" s="4">
        <v>21939</v>
      </c>
      <c r="L82" s="4">
        <v>29867</v>
      </c>
      <c r="M82" s="4">
        <v>26605</v>
      </c>
      <c r="N82" s="4"/>
      <c r="O82" s="10"/>
      <c r="P82" s="4">
        <v>76862</v>
      </c>
      <c r="Q82" s="4"/>
      <c r="R82" s="4"/>
      <c r="S82" s="4"/>
      <c r="T82" s="4"/>
      <c r="U82" s="10"/>
      <c r="V82" s="10"/>
      <c r="W82" s="10"/>
      <c r="X82" s="4"/>
      <c r="Y82" s="18" t="str">
        <f t="shared" si="64"/>
        <v/>
      </c>
      <c r="Z82" s="4"/>
      <c r="AA82" s="77">
        <f t="shared" ref="AA82:AA145" si="78">IF($A82="","",(AB82-AB81)/AB81)</f>
        <v>2.3076231277388972E-2</v>
      </c>
      <c r="AB82" s="8">
        <f t="shared" si="60"/>
        <v>250269</v>
      </c>
      <c r="AC82" s="2"/>
      <c r="AD82" s="3" t="s">
        <v>306</v>
      </c>
      <c r="AE82" s="4">
        <v>97221</v>
      </c>
      <c r="AF82" s="4">
        <v>194590</v>
      </c>
      <c r="AG82" s="4"/>
      <c r="AH82" s="4"/>
      <c r="AJ82" s="4"/>
      <c r="AK82" s="4"/>
      <c r="AL82" s="4">
        <v>26971</v>
      </c>
      <c r="AM82" s="4"/>
      <c r="AN82" s="1">
        <v>7206</v>
      </c>
      <c r="AO82" s="4"/>
      <c r="AP82" s="10"/>
      <c r="AQ82" s="4"/>
      <c r="AR82" s="4"/>
      <c r="AS82" s="4"/>
      <c r="AT82" s="4">
        <v>32244</v>
      </c>
      <c r="AU82" s="4"/>
      <c r="AW82" s="4"/>
      <c r="AX82" s="4"/>
      <c r="AY82" s="4"/>
      <c r="AZ82" s="4"/>
      <c r="BA82" s="4"/>
      <c r="BB82" s="4"/>
      <c r="BC82" s="4"/>
      <c r="BD82" s="4"/>
      <c r="BE82" s="4">
        <v>23297</v>
      </c>
      <c r="BF82" s="4"/>
      <c r="BG82" s="1">
        <v>7549</v>
      </c>
      <c r="BH82" s="4"/>
      <c r="BI82" s="4"/>
      <c r="BJ82" s="4">
        <v>22119</v>
      </c>
      <c r="BK82" s="4"/>
      <c r="BL82" s="4"/>
      <c r="BM82" s="4"/>
      <c r="BN82" s="4"/>
      <c r="BO82" s="4"/>
      <c r="BP82" s="4"/>
      <c r="BQ82" s="4"/>
      <c r="BR82" s="1">
        <v>6749</v>
      </c>
      <c r="BS82" s="10"/>
      <c r="BT82" s="4"/>
      <c r="BU82" s="4"/>
      <c r="BV82" s="4"/>
      <c r="BW82" s="4"/>
      <c r="BX82" s="1">
        <v>6382</v>
      </c>
      <c r="BY82" s="1">
        <v>6496</v>
      </c>
      <c r="CA82" s="4"/>
      <c r="CB82" s="4"/>
      <c r="CC82" s="4"/>
      <c r="CD82" s="4"/>
      <c r="CE82" s="4"/>
      <c r="CF82" s="4">
        <v>31970</v>
      </c>
      <c r="CG82" s="4"/>
      <c r="CH82" s="4">
        <v>27328</v>
      </c>
      <c r="CI82" s="4"/>
      <c r="CJ82" s="10"/>
      <c r="CK82" s="4"/>
      <c r="CL82" s="10"/>
      <c r="CM82" s="1">
        <v>7877</v>
      </c>
      <c r="CN82" s="4"/>
      <c r="CO82" s="10"/>
      <c r="CP82" s="4"/>
      <c r="CQ82" s="4">
        <v>16494</v>
      </c>
      <c r="CR82" s="10"/>
      <c r="CS82" s="4"/>
      <c r="CT82" s="4"/>
      <c r="CU82" s="4">
        <v>7625</v>
      </c>
      <c r="CV82" s="4">
        <v>24152</v>
      </c>
      <c r="CW82" s="4"/>
      <c r="CX82" s="4"/>
      <c r="CY82" s="77">
        <f t="shared" si="76"/>
        <v>1.2850915657870096E-2</v>
      </c>
      <c r="CZ82" s="8">
        <f t="shared" si="61"/>
        <v>546270</v>
      </c>
      <c r="DA82" s="2"/>
      <c r="DD82" s="1">
        <v>7447</v>
      </c>
      <c r="DH82" s="4"/>
      <c r="DJ82" s="4"/>
      <c r="DL82" s="1">
        <v>15176</v>
      </c>
      <c r="DM82" s="1">
        <v>13488</v>
      </c>
      <c r="DN82" s="1">
        <v>15306</v>
      </c>
      <c r="DP82" s="1">
        <v>14075</v>
      </c>
      <c r="DQ82" s="1">
        <v>15879</v>
      </c>
      <c r="DR82" s="1">
        <v>9381</v>
      </c>
      <c r="DU82" s="1">
        <v>14328</v>
      </c>
      <c r="DX82" s="2"/>
      <c r="DY82" s="32"/>
      <c r="DZ82" s="4">
        <v>197</v>
      </c>
      <c r="EA82" s="32"/>
      <c r="EB82" s="32"/>
      <c r="EC82" s="32"/>
      <c r="ED82" s="32"/>
      <c r="EE82" s="4">
        <v>14623</v>
      </c>
      <c r="EF82" s="4">
        <v>14110</v>
      </c>
      <c r="EG82" s="32"/>
      <c r="EH82" s="32"/>
      <c r="EI82" s="32"/>
      <c r="EJ82" s="32"/>
      <c r="EK82" s="5"/>
      <c r="EO82" s="2"/>
      <c r="EQ82" s="468" t="s">
        <v>1</v>
      </c>
      <c r="ER82"/>
      <c r="ES82" s="6" t="s">
        <v>378</v>
      </c>
      <c r="ET82" s="10"/>
      <c r="EU82" s="10"/>
      <c r="EV82" s="10"/>
      <c r="EW82" s="10"/>
      <c r="EX82" s="4">
        <v>761</v>
      </c>
      <c r="EY82" s="4"/>
      <c r="EZ82" s="4"/>
      <c r="FA82" s="4"/>
      <c r="FB82" s="4"/>
      <c r="FC82" s="4">
        <v>16451</v>
      </c>
      <c r="FD82" s="4"/>
      <c r="FE82" s="4"/>
      <c r="FF82" s="4"/>
      <c r="FG82" s="4"/>
      <c r="FH82" s="10"/>
      <c r="FI82" s="10"/>
      <c r="FJ82" s="10"/>
      <c r="FK82" s="10"/>
      <c r="FL82" s="10"/>
      <c r="FM82" s="10"/>
      <c r="FN82" s="4"/>
      <c r="FO82" s="4"/>
      <c r="FP82" s="10"/>
      <c r="FQ82" s="4"/>
      <c r="FR82" s="4"/>
      <c r="FS82" s="10"/>
      <c r="FT82" s="4">
        <v>25038</v>
      </c>
      <c r="FU82" s="4">
        <v>18710</v>
      </c>
      <c r="FV82" s="4">
        <v>24217</v>
      </c>
      <c r="FW82" s="4">
        <v>21939</v>
      </c>
      <c r="FX82" s="4">
        <v>7667</v>
      </c>
      <c r="FY82" s="4">
        <v>29867</v>
      </c>
      <c r="FZ82" s="10"/>
      <c r="GA82" s="10"/>
      <c r="GB82" s="10"/>
      <c r="GC82" s="10"/>
      <c r="GD82" s="4">
        <v>26605</v>
      </c>
      <c r="GE82" s="4">
        <v>19751</v>
      </c>
      <c r="GF82" s="4">
        <v>8590</v>
      </c>
      <c r="GG82" s="4"/>
      <c r="GH82" s="4"/>
      <c r="GI82" s="4"/>
      <c r="GJ82" s="4">
        <v>23520</v>
      </c>
      <c r="GK82" s="4"/>
      <c r="GL82" s="4"/>
      <c r="GM82" s="4"/>
      <c r="GN82" s="10"/>
      <c r="GO82" s="10"/>
      <c r="GP82" s="4"/>
      <c r="GQ82" s="10"/>
      <c r="GR82" s="4">
        <v>21754</v>
      </c>
      <c r="GS82" s="10"/>
      <c r="GT82" s="4"/>
      <c r="GU82" s="10"/>
      <c r="GV82" s="4"/>
      <c r="GW82" s="10"/>
      <c r="GX82" s="10">
        <v>12662</v>
      </c>
      <c r="GY82" s="10"/>
      <c r="GZ82" s="10"/>
      <c r="HA82" s="18"/>
      <c r="HB82" s="4"/>
      <c r="HC82" s="77">
        <f t="shared" ref="HC82:HC145" si="79">IF($A82="","",(HD82-HD81)/HD81)</f>
        <v>3.4186146438625165E-2</v>
      </c>
      <c r="HD82" s="8">
        <f t="shared" si="51"/>
        <v>257532</v>
      </c>
      <c r="HE82" s="2"/>
      <c r="HF82" s="40" t="s">
        <v>306</v>
      </c>
      <c r="HG82" s="4">
        <v>13351</v>
      </c>
      <c r="HH82" s="4"/>
      <c r="HI82" s="4">
        <v>17607</v>
      </c>
      <c r="HJ82" s="4"/>
      <c r="HK82" s="4"/>
      <c r="HL82" s="4"/>
      <c r="HM82" s="4"/>
      <c r="HN82" s="4">
        <v>26971</v>
      </c>
      <c r="HO82" s="4">
        <v>28914</v>
      </c>
      <c r="HP82" s="4"/>
      <c r="HQ82" s="4"/>
      <c r="HR82" s="4"/>
      <c r="HS82" s="4"/>
      <c r="HT82" s="10"/>
      <c r="HU82" s="10"/>
      <c r="HV82" s="4"/>
      <c r="HW82" s="4"/>
      <c r="HX82" s="4"/>
      <c r="HY82" s="4"/>
      <c r="HZ82" s="4">
        <v>24736</v>
      </c>
      <c r="IA82" s="4">
        <v>17669</v>
      </c>
      <c r="IB82" s="4"/>
      <c r="IC82" s="4">
        <v>19695</v>
      </c>
      <c r="ID82" s="10"/>
      <c r="IE82" s="4">
        <v>24348</v>
      </c>
      <c r="IF82" s="10"/>
      <c r="IG82" s="4"/>
      <c r="IH82" s="4"/>
      <c r="II82" s="4"/>
      <c r="IJ82" s="4">
        <v>23200</v>
      </c>
      <c r="IK82" s="4"/>
      <c r="IL82" s="4"/>
      <c r="IM82" s="4">
        <v>23297</v>
      </c>
      <c r="IN82" s="4"/>
      <c r="IO82" s="4"/>
      <c r="IP82" s="4">
        <v>22119</v>
      </c>
      <c r="IQ82" s="4"/>
      <c r="IR82" s="4"/>
      <c r="IS82" s="4"/>
      <c r="IT82" s="10"/>
      <c r="IU82" s="4"/>
      <c r="IV82" s="4"/>
      <c r="IW82" s="4">
        <v>20027</v>
      </c>
      <c r="IX82" s="10"/>
      <c r="IY82" s="4">
        <v>15744</v>
      </c>
      <c r="IZ82" s="4">
        <v>21090</v>
      </c>
      <c r="JA82" s="4"/>
      <c r="JB82" s="4"/>
      <c r="JC82" s="4"/>
      <c r="JD82" s="4"/>
      <c r="JE82" s="4"/>
      <c r="JF82" s="10"/>
      <c r="JG82" s="10"/>
      <c r="JH82" s="10"/>
      <c r="JI82" s="4">
        <v>22090</v>
      </c>
      <c r="JJ82" s="4"/>
      <c r="JK82" s="4">
        <v>19957</v>
      </c>
      <c r="JL82" s="4"/>
      <c r="JM82" s="4"/>
      <c r="JN82" s="10"/>
      <c r="JO82" s="10"/>
      <c r="JP82" s="4"/>
      <c r="JQ82" s="4"/>
      <c r="JR82" s="4"/>
      <c r="JS82" s="4">
        <v>16013</v>
      </c>
      <c r="JT82" s="4">
        <v>22250</v>
      </c>
      <c r="JU82" s="10"/>
      <c r="JV82" s="4"/>
      <c r="JW82" s="4"/>
      <c r="JX82" s="4">
        <v>27328</v>
      </c>
      <c r="JY82" s="4"/>
      <c r="JZ82" s="4">
        <v>18888</v>
      </c>
      <c r="KA82" s="4"/>
      <c r="KB82" s="4"/>
      <c r="KC82" s="4">
        <v>17788</v>
      </c>
      <c r="KD82" s="10"/>
      <c r="KE82" s="10"/>
      <c r="KF82" s="10"/>
      <c r="KG82" s="4"/>
      <c r="KH82" s="10"/>
      <c r="KI82" s="10"/>
      <c r="KJ82" s="10"/>
      <c r="KK82" s="10"/>
      <c r="KL82" s="4">
        <v>16494</v>
      </c>
      <c r="KM82" s="10"/>
      <c r="KN82" s="4"/>
      <c r="KO82" s="4"/>
      <c r="KP82" s="4">
        <v>7625</v>
      </c>
      <c r="KQ82" s="4">
        <v>24152</v>
      </c>
      <c r="KR82" s="10"/>
      <c r="KS82" s="4">
        <v>25256</v>
      </c>
      <c r="KT82" s="4">
        <v>12980</v>
      </c>
      <c r="KU82" s="4"/>
      <c r="KV82" s="4"/>
      <c r="KW82" s="4"/>
      <c r="KX82" s="18"/>
      <c r="KY82" s="4"/>
      <c r="KZ82" s="77">
        <f t="shared" ref="KZ82:KZ145" si="80">IF($A82="","",(LA82-LA81)/LA81)</f>
        <v>5.0286692971976459E-2</v>
      </c>
      <c r="LA82" s="8">
        <f t="shared" si="62"/>
        <v>529589</v>
      </c>
      <c r="LB82" s="2"/>
      <c r="LC82" s="43" t="s">
        <v>387</v>
      </c>
      <c r="LD82" s="1">
        <v>2963</v>
      </c>
      <c r="LG82" s="1">
        <v>7447</v>
      </c>
      <c r="LI82" s="1">
        <v>7206</v>
      </c>
      <c r="LU82" s="1">
        <v>15315</v>
      </c>
      <c r="LY82" s="1">
        <v>7549</v>
      </c>
      <c r="MB82" s="1">
        <v>6678</v>
      </c>
      <c r="MD82" s="1">
        <v>15176</v>
      </c>
      <c r="ME82" s="1">
        <v>6749</v>
      </c>
      <c r="MH82" s="1">
        <v>6527</v>
      </c>
      <c r="MI82" s="1">
        <v>13488</v>
      </c>
      <c r="ML82" s="1">
        <v>7244</v>
      </c>
      <c r="MM82" s="1">
        <v>6382</v>
      </c>
      <c r="MN82" s="1">
        <v>6496</v>
      </c>
      <c r="MO82" s="172">
        <v>6123</v>
      </c>
      <c r="MR82" s="1">
        <v>7535</v>
      </c>
      <c r="MT82" s="1">
        <v>15306</v>
      </c>
      <c r="MV82" s="1">
        <v>14075</v>
      </c>
      <c r="MW82" s="1">
        <v>4538</v>
      </c>
      <c r="MX82" s="1">
        <v>15879</v>
      </c>
      <c r="NC82" s="1">
        <v>9381</v>
      </c>
      <c r="NF82" s="1">
        <v>14328</v>
      </c>
      <c r="NG82" s="1">
        <v>7877</v>
      </c>
      <c r="NH82" s="1">
        <v>6048</v>
      </c>
      <c r="NI82" s="1">
        <v>15015</v>
      </c>
      <c r="NK82" s="1">
        <v>7390</v>
      </c>
      <c r="NL82" s="1">
        <v>5443</v>
      </c>
      <c r="NM82" s="1">
        <v>7625</v>
      </c>
      <c r="NO82" s="77"/>
      <c r="NP82" s="63"/>
      <c r="NQ82"/>
      <c r="NR82" s="77">
        <f t="shared" ref="NR82:NR144" si="81">IF($A82="","",(NS82-NS81)/NS81)</f>
        <v>9.2555712050720867E-3</v>
      </c>
      <c r="NS82" s="8">
        <f t="shared" si="42"/>
        <v>245783</v>
      </c>
      <c r="NT82" s="2"/>
      <c r="NU82" s="40" t="s">
        <v>306</v>
      </c>
      <c r="NV82" s="4">
        <v>197</v>
      </c>
      <c r="NW82" s="4"/>
      <c r="NX82" s="4"/>
      <c r="NY82" s="4"/>
      <c r="NZ82" s="4"/>
      <c r="OA82" s="4">
        <v>14623</v>
      </c>
      <c r="OB82" s="4">
        <v>14110</v>
      </c>
      <c r="OC82" s="4"/>
      <c r="OD82" s="4"/>
      <c r="OE82" s="77">
        <f t="shared" ref="OE82:OE144" si="82">IF($A82="","",(OF82-OF81)/OF81)</f>
        <v>-7.7173726633510548E-3</v>
      </c>
      <c r="OF82" s="8">
        <f t="shared" si="71"/>
        <v>28930</v>
      </c>
      <c r="OG82" s="2"/>
      <c r="OH82" s="40" t="s">
        <v>306</v>
      </c>
      <c r="OI82" s="1">
        <v>82</v>
      </c>
      <c r="OJ82" s="40"/>
      <c r="OK82" s="40"/>
      <c r="OL82" s="40"/>
      <c r="OM82" s="40"/>
      <c r="ON82" s="40"/>
      <c r="OO82" s="40"/>
      <c r="OP82" s="1">
        <v>30665</v>
      </c>
      <c r="OQ82" s="40"/>
      <c r="OR82" s="77">
        <f t="shared" ref="OR82:OR109" si="83">IF($A82="","",(OS82-OS81)/OS81)</f>
        <v>-3.5971223021582736E-3</v>
      </c>
      <c r="OS82" s="8">
        <f t="shared" si="49"/>
        <v>30747</v>
      </c>
      <c r="OT82" s="37"/>
      <c r="OU82" s="126">
        <f t="shared" si="65"/>
        <v>827286</v>
      </c>
      <c r="OV82" s="71">
        <f t="shared" si="73"/>
        <v>1.5297838420953804E-2</v>
      </c>
      <c r="OW82" s="139">
        <f>IF(A82="","",SUM(Z$17:Z82))</f>
        <v>20000</v>
      </c>
      <c r="OX82" s="139">
        <f t="shared" si="52"/>
        <v>845469</v>
      </c>
      <c r="OY82" s="132">
        <f t="shared" si="53"/>
        <v>0.1848122658841434</v>
      </c>
      <c r="OZ82" s="140">
        <f t="shared" si="66"/>
        <v>1061834</v>
      </c>
      <c r="PA82" s="84">
        <f t="shared" si="77"/>
        <v>3.4990688501171277E-2</v>
      </c>
      <c r="PB82" s="130">
        <f>IF(A82="","",SUM(HB$17:HB82)+SUM(KY$17:KY82))</f>
        <v>115756.47</v>
      </c>
      <c r="PC82" s="131">
        <f t="shared" si="54"/>
        <v>902877.47</v>
      </c>
      <c r="PD82" s="132">
        <f t="shared" si="55"/>
        <v>0.3669171305681424</v>
      </c>
      <c r="PE82" s="133">
        <f t="shared" si="67"/>
        <v>787121</v>
      </c>
      <c r="PF82" s="84">
        <f t="shared" si="69"/>
        <v>4.4963981499944579E-2</v>
      </c>
      <c r="PG82" s="133">
        <f t="shared" si="68"/>
        <v>1101999</v>
      </c>
      <c r="PH82" s="84">
        <f t="shared" si="70"/>
        <v>1.3327754814920391E-2</v>
      </c>
      <c r="PI82" s="135">
        <f t="shared" si="56"/>
        <v>1889120</v>
      </c>
      <c r="PJ82" s="136">
        <f t="shared" si="74"/>
        <v>2.6273541404274563E-2</v>
      </c>
      <c r="PK82" s="123">
        <f t="shared" si="72"/>
        <v>0.35027321818500212</v>
      </c>
      <c r="PL82" s="137">
        <f t="shared" si="57"/>
        <v>135756.47</v>
      </c>
      <c r="PM82" s="9">
        <f t="shared" si="58"/>
        <v>1748346.47</v>
      </c>
      <c r="PN82" s="138">
        <f t="shared" si="59"/>
        <v>0.27234826178399107</v>
      </c>
      <c r="PO82" s="86">
        <f>IF(PI82="","",MAX(PI$15:PI82))</f>
        <v>1889120</v>
      </c>
      <c r="PP82" s="113">
        <f t="shared" si="75"/>
        <v>0</v>
      </c>
      <c r="PQ82" s="41"/>
      <c r="PR82" s="302"/>
    </row>
    <row r="83" spans="1:434" s="1" customFormat="1" ht="15" customHeight="1" x14ac:dyDescent="0.45">
      <c r="A83" s="18">
        <v>44533</v>
      </c>
      <c r="B83" s="29" t="s">
        <v>306</v>
      </c>
      <c r="C83" s="4">
        <v>51248</v>
      </c>
      <c r="D83" s="10"/>
      <c r="E83" s="10"/>
      <c r="F83" s="10"/>
      <c r="G83" s="4"/>
      <c r="H83" s="4"/>
      <c r="I83" s="4">
        <v>23702</v>
      </c>
      <c r="J83" s="4">
        <v>18084</v>
      </c>
      <c r="K83" s="4">
        <v>21109</v>
      </c>
      <c r="L83" s="4">
        <v>28149</v>
      </c>
      <c r="M83" s="4">
        <v>25973</v>
      </c>
      <c r="N83" s="4"/>
      <c r="O83" s="10"/>
      <c r="P83" s="4">
        <v>76862</v>
      </c>
      <c r="Q83" s="4"/>
      <c r="R83" s="4"/>
      <c r="S83" s="4"/>
      <c r="T83" s="4"/>
      <c r="U83" s="10"/>
      <c r="V83" s="10"/>
      <c r="W83" s="10"/>
      <c r="X83" s="4"/>
      <c r="Y83" s="18" t="str">
        <f t="shared" si="64"/>
        <v/>
      </c>
      <c r="Z83" s="4"/>
      <c r="AA83" s="77">
        <f t="shared" si="78"/>
        <v>-2.0545892619541373E-2</v>
      </c>
      <c r="AB83" s="8">
        <f t="shared" si="60"/>
        <v>245127</v>
      </c>
      <c r="AC83" s="2"/>
      <c r="AD83" s="3" t="s">
        <v>388</v>
      </c>
      <c r="AE83" s="4">
        <v>47975</v>
      </c>
      <c r="AF83" s="4">
        <v>168539</v>
      </c>
      <c r="AG83" s="4"/>
      <c r="AH83" s="4"/>
      <c r="AI83" s="1">
        <v>9470</v>
      </c>
      <c r="AJ83" s="4"/>
      <c r="AK83" s="4"/>
      <c r="AL83" s="4">
        <v>28393</v>
      </c>
      <c r="AM83" s="4"/>
      <c r="AN83" s="1">
        <v>7160</v>
      </c>
      <c r="AO83" s="4"/>
      <c r="AP83" s="10"/>
      <c r="AQ83" s="4"/>
      <c r="AR83" s="4"/>
      <c r="AS83" s="4"/>
      <c r="AT83" s="4">
        <v>28832</v>
      </c>
      <c r="AU83" s="4"/>
      <c r="AW83" s="4"/>
      <c r="AX83" s="4"/>
      <c r="AY83" s="4"/>
      <c r="AZ83" s="4"/>
      <c r="BA83" s="4"/>
      <c r="BB83" s="4"/>
      <c r="BC83" s="4"/>
      <c r="BD83" s="4"/>
      <c r="BE83" s="4">
        <v>22824</v>
      </c>
      <c r="BF83" s="4"/>
      <c r="BG83" s="1">
        <v>7464</v>
      </c>
      <c r="BH83" s="4"/>
      <c r="BI83" s="4"/>
      <c r="BJ83" s="4">
        <v>24622</v>
      </c>
      <c r="BK83" s="4"/>
      <c r="BL83" s="4"/>
      <c r="BM83" s="4"/>
      <c r="BN83" s="4"/>
      <c r="BO83" s="4"/>
      <c r="BP83" s="4"/>
      <c r="BQ83" s="4"/>
      <c r="BR83" s="1">
        <v>8245</v>
      </c>
      <c r="BS83" s="10"/>
      <c r="BT83" s="4"/>
      <c r="BU83" s="4"/>
      <c r="BV83" s="4"/>
      <c r="BW83" s="4"/>
      <c r="BX83" s="1">
        <v>6275</v>
      </c>
      <c r="BY83" s="1">
        <v>9631</v>
      </c>
      <c r="CA83" s="4"/>
      <c r="CB83" s="4"/>
      <c r="CC83" s="4"/>
      <c r="CD83" s="4"/>
      <c r="CE83" s="4"/>
      <c r="CF83" s="4">
        <v>27141</v>
      </c>
      <c r="CG83" s="4"/>
      <c r="CH83" s="4">
        <v>26905</v>
      </c>
      <c r="CI83" s="4"/>
      <c r="CJ83" s="10"/>
      <c r="CK83" s="4"/>
      <c r="CL83" s="10"/>
      <c r="CM83" s="1">
        <v>11212</v>
      </c>
      <c r="CN83" s="4"/>
      <c r="CO83" s="10"/>
      <c r="CP83" s="4"/>
      <c r="CQ83" s="4">
        <v>16202</v>
      </c>
      <c r="CR83" s="10"/>
      <c r="CS83" s="4"/>
      <c r="CT83" s="4"/>
      <c r="CU83" s="4">
        <v>7355</v>
      </c>
      <c r="CV83" s="4">
        <v>24558</v>
      </c>
      <c r="CW83" s="4"/>
      <c r="CX83" s="4"/>
      <c r="CY83" s="77">
        <f t="shared" si="76"/>
        <v>-0.11618247386823366</v>
      </c>
      <c r="CZ83" s="8">
        <f t="shared" si="61"/>
        <v>482803</v>
      </c>
      <c r="DA83" s="2"/>
      <c r="DD83" s="1">
        <v>18921</v>
      </c>
      <c r="DF83" s="1">
        <v>3843</v>
      </c>
      <c r="DH83" s="4"/>
      <c r="DJ83" s="4"/>
      <c r="DL83" s="1">
        <v>15153</v>
      </c>
      <c r="DM83" s="1">
        <v>24181</v>
      </c>
      <c r="DN83" s="1">
        <v>15268</v>
      </c>
      <c r="DP83" s="1">
        <v>25344</v>
      </c>
      <c r="DQ83" s="1">
        <v>15887</v>
      </c>
      <c r="DR83" s="1">
        <v>18682</v>
      </c>
      <c r="DU83" s="1">
        <v>14241</v>
      </c>
      <c r="DX83" s="2"/>
      <c r="DY83" s="32"/>
      <c r="DZ83" s="4">
        <v>242</v>
      </c>
      <c r="EA83" s="32"/>
      <c r="EB83" s="32"/>
      <c r="EC83" s="32"/>
      <c r="ED83" s="32"/>
      <c r="EE83" s="4">
        <v>15538</v>
      </c>
      <c r="EF83" s="4">
        <v>14004</v>
      </c>
      <c r="EG83" s="32"/>
      <c r="EH83" s="32"/>
      <c r="EI83" s="32"/>
      <c r="EJ83" s="32"/>
      <c r="EK83" s="5"/>
      <c r="EO83" s="2"/>
      <c r="EQ83" s="468" t="s">
        <v>1</v>
      </c>
      <c r="ER83"/>
      <c r="ES83" s="6" t="s">
        <v>389</v>
      </c>
      <c r="ET83" s="10"/>
      <c r="EU83" s="10"/>
      <c r="EV83" s="10"/>
      <c r="EW83" s="10"/>
      <c r="EX83" s="4">
        <v>5239</v>
      </c>
      <c r="EY83" s="4"/>
      <c r="EZ83" s="4"/>
      <c r="FA83" s="4"/>
      <c r="FB83" s="4"/>
      <c r="FC83" s="4">
        <v>17027</v>
      </c>
      <c r="FD83" s="4"/>
      <c r="FE83" s="4"/>
      <c r="FF83" s="4"/>
      <c r="FG83" s="4"/>
      <c r="FH83" s="10"/>
      <c r="FI83" s="10"/>
      <c r="FJ83" s="10"/>
      <c r="FK83" s="10"/>
      <c r="FL83" s="10"/>
      <c r="FM83" s="10"/>
      <c r="FN83" s="4"/>
      <c r="FO83" s="4"/>
      <c r="FP83" s="10"/>
      <c r="FQ83" s="4"/>
      <c r="FR83" s="4"/>
      <c r="FS83" s="10"/>
      <c r="FT83" s="4">
        <v>23702</v>
      </c>
      <c r="FU83" s="4">
        <v>18084</v>
      </c>
      <c r="FV83" s="4">
        <v>23096</v>
      </c>
      <c r="FW83" s="4">
        <v>21109</v>
      </c>
      <c r="FX83" s="4">
        <v>7344</v>
      </c>
      <c r="FY83" s="4">
        <v>28149</v>
      </c>
      <c r="FZ83" s="10"/>
      <c r="GA83" s="10"/>
      <c r="GB83" s="10"/>
      <c r="GC83" s="10"/>
      <c r="GD83" s="4">
        <v>25973</v>
      </c>
      <c r="GE83" s="4">
        <v>19361</v>
      </c>
      <c r="GF83" s="4"/>
      <c r="GG83" s="4"/>
      <c r="GH83" s="4"/>
      <c r="GI83" s="4"/>
      <c r="GJ83" s="4">
        <v>22126</v>
      </c>
      <c r="GK83" s="4"/>
      <c r="GL83" s="4"/>
      <c r="GM83" s="4"/>
      <c r="GN83" s="10"/>
      <c r="GO83" s="10"/>
      <c r="GP83" s="4"/>
      <c r="GQ83" s="10"/>
      <c r="GR83" s="4">
        <v>21749</v>
      </c>
      <c r="GS83" s="10"/>
      <c r="GT83" s="4"/>
      <c r="GU83" s="10"/>
      <c r="GV83" s="4"/>
      <c r="GW83" s="10"/>
      <c r="GX83" s="10">
        <v>12224</v>
      </c>
      <c r="GY83" s="10"/>
      <c r="GZ83" s="10"/>
      <c r="HA83" s="18"/>
      <c r="HB83" s="4"/>
      <c r="HC83" s="77">
        <f t="shared" si="79"/>
        <v>-4.7951322554090368E-2</v>
      </c>
      <c r="HD83" s="8">
        <f t="shared" si="51"/>
        <v>245183</v>
      </c>
      <c r="HE83" s="2"/>
      <c r="HF83" s="3" t="s">
        <v>390</v>
      </c>
      <c r="HG83" s="4">
        <v>11595</v>
      </c>
      <c r="HH83" s="4"/>
      <c r="HI83" s="4">
        <v>17746</v>
      </c>
      <c r="HJ83" s="4"/>
      <c r="HK83" s="4"/>
      <c r="HL83" s="4"/>
      <c r="HM83" s="4"/>
      <c r="HN83" s="4">
        <v>28393</v>
      </c>
      <c r="HO83" s="4">
        <v>26868</v>
      </c>
      <c r="HP83" s="4"/>
      <c r="HQ83" s="4">
        <v>18043</v>
      </c>
      <c r="HR83" s="4"/>
      <c r="HS83" s="4"/>
      <c r="HT83" s="10"/>
      <c r="HU83" s="10"/>
      <c r="HV83" s="4"/>
      <c r="HW83" s="4"/>
      <c r="HX83" s="4"/>
      <c r="HY83" s="4"/>
      <c r="HZ83" s="4">
        <v>24200</v>
      </c>
      <c r="IA83" s="4">
        <v>17705</v>
      </c>
      <c r="IB83" s="4"/>
      <c r="IC83" s="4">
        <v>21068</v>
      </c>
      <c r="ID83" s="10"/>
      <c r="IE83" s="4">
        <v>21770</v>
      </c>
      <c r="IF83" s="10"/>
      <c r="IG83" s="4"/>
      <c r="IH83" s="4"/>
      <c r="II83" s="4"/>
      <c r="IJ83" s="4">
        <v>22625</v>
      </c>
      <c r="IK83" s="4"/>
      <c r="IL83" s="4"/>
      <c r="IM83" s="4">
        <v>22824</v>
      </c>
      <c r="IN83" s="4"/>
      <c r="IO83" s="4"/>
      <c r="IP83" s="4">
        <v>24622</v>
      </c>
      <c r="IQ83" s="4"/>
      <c r="IR83" s="4"/>
      <c r="IS83" s="4"/>
      <c r="IT83" s="10"/>
      <c r="IU83" s="4"/>
      <c r="IV83" s="4"/>
      <c r="IW83" s="4">
        <v>18991</v>
      </c>
      <c r="IX83" s="10"/>
      <c r="IY83" s="4"/>
      <c r="IZ83" s="4">
        <v>19973</v>
      </c>
      <c r="JA83" s="4"/>
      <c r="JB83" s="4"/>
      <c r="JC83" s="4"/>
      <c r="JD83" s="4"/>
      <c r="JE83" s="4"/>
      <c r="JF83" s="10"/>
      <c r="JG83" s="10"/>
      <c r="JH83" s="10"/>
      <c r="JI83" s="4">
        <v>22246</v>
      </c>
      <c r="JJ83" s="4"/>
      <c r="JK83" s="4">
        <v>18877</v>
      </c>
      <c r="JL83" s="4"/>
      <c r="JM83" s="4"/>
      <c r="JN83" s="10"/>
      <c r="JO83" s="10"/>
      <c r="JP83" s="4"/>
      <c r="JQ83" s="4"/>
      <c r="JR83" s="4"/>
      <c r="JS83" s="4">
        <v>15686</v>
      </c>
      <c r="JT83" s="4">
        <v>22324</v>
      </c>
      <c r="JU83" s="10"/>
      <c r="JV83" s="4"/>
      <c r="JW83" s="4"/>
      <c r="JX83" s="4">
        <v>26905</v>
      </c>
      <c r="JY83" s="4"/>
      <c r="JZ83" s="4">
        <v>18133</v>
      </c>
      <c r="KA83" s="4"/>
      <c r="KB83" s="4"/>
      <c r="KC83" s="4">
        <v>16719</v>
      </c>
      <c r="KD83" s="10"/>
      <c r="KE83" s="10"/>
      <c r="KF83" s="10"/>
      <c r="KG83" s="4"/>
      <c r="KH83" s="10"/>
      <c r="KI83" s="10"/>
      <c r="KJ83" s="10"/>
      <c r="KK83" s="10"/>
      <c r="KL83" s="4">
        <v>16202</v>
      </c>
      <c r="KM83" s="10"/>
      <c r="KN83" s="4"/>
      <c r="KO83" s="4"/>
      <c r="KP83" s="4">
        <v>7355</v>
      </c>
      <c r="KQ83" s="4">
        <v>24558</v>
      </c>
      <c r="KR83" s="10"/>
      <c r="KS83" s="4">
        <v>24056</v>
      </c>
      <c r="KT83" s="4">
        <v>12284</v>
      </c>
      <c r="KU83" s="4"/>
      <c r="KV83" s="4"/>
      <c r="KW83" s="4"/>
      <c r="KX83" s="18"/>
      <c r="KY83" s="4"/>
      <c r="KZ83" s="77">
        <f t="shared" si="80"/>
        <v>-1.4768055983035901E-2</v>
      </c>
      <c r="LA83" s="8">
        <f t="shared" si="62"/>
        <v>521768</v>
      </c>
      <c r="LB83" s="2"/>
      <c r="LC83" s="43" t="s">
        <v>391</v>
      </c>
      <c r="LD83" s="1">
        <v>2950</v>
      </c>
      <c r="LF83" s="1">
        <v>9470</v>
      </c>
      <c r="LG83" s="1">
        <v>18921</v>
      </c>
      <c r="LI83" s="1">
        <v>7160</v>
      </c>
      <c r="LM83" s="1">
        <v>3843</v>
      </c>
      <c r="LQ83" s="1">
        <v>10132</v>
      </c>
      <c r="LU83" s="1">
        <v>15294</v>
      </c>
      <c r="LY83" s="1">
        <v>7464</v>
      </c>
      <c r="MD83" s="1">
        <v>15153</v>
      </c>
      <c r="ME83" s="1">
        <v>8245</v>
      </c>
      <c r="MI83" s="1">
        <v>24181</v>
      </c>
      <c r="ML83" s="1">
        <v>7094</v>
      </c>
      <c r="MM83" s="1">
        <v>6275</v>
      </c>
      <c r="MN83" s="1">
        <v>9631</v>
      </c>
      <c r="MO83" s="172">
        <v>8402</v>
      </c>
      <c r="MT83" s="1">
        <v>15268</v>
      </c>
      <c r="MV83" s="1">
        <v>25344</v>
      </c>
      <c r="MW83" s="1">
        <v>8988</v>
      </c>
      <c r="MX83" s="1">
        <v>15887</v>
      </c>
      <c r="NC83" s="1">
        <v>18682</v>
      </c>
      <c r="NF83" s="1">
        <v>14241</v>
      </c>
      <c r="NG83" s="1">
        <v>11212</v>
      </c>
      <c r="NH83" s="1">
        <v>5942</v>
      </c>
      <c r="NI83" s="1">
        <v>14993</v>
      </c>
      <c r="NK83" s="1">
        <v>9170</v>
      </c>
      <c r="NL83" s="1">
        <v>8034</v>
      </c>
      <c r="NM83" s="1">
        <v>7355</v>
      </c>
      <c r="NN83" s="1">
        <v>9812</v>
      </c>
      <c r="NO83" s="77"/>
      <c r="NP83" s="63"/>
      <c r="NQ83"/>
      <c r="NR83" s="77">
        <f t="shared" si="81"/>
        <v>0.29847467074614598</v>
      </c>
      <c r="NS83" s="8">
        <f t="shared" ref="NS83:NS114" si="84">IF(A83="","",SUM(LD83:NO83))</f>
        <v>319143</v>
      </c>
      <c r="NT83" s="2"/>
      <c r="NU83" s="40" t="s">
        <v>306</v>
      </c>
      <c r="NV83" s="4">
        <v>242</v>
      </c>
      <c r="NW83" s="4"/>
      <c r="NX83" s="4"/>
      <c r="NY83" s="4"/>
      <c r="NZ83" s="4"/>
      <c r="OA83" s="4">
        <v>15538</v>
      </c>
      <c r="OB83" s="4">
        <v>14004</v>
      </c>
      <c r="OC83" s="4"/>
      <c r="OD83" s="4"/>
      <c r="OE83" s="77">
        <f t="shared" si="82"/>
        <v>2.9519529899758038E-2</v>
      </c>
      <c r="OF83" s="8">
        <f t="shared" si="71"/>
        <v>29784</v>
      </c>
      <c r="OG83" s="2"/>
      <c r="OI83" s="1">
        <v>82</v>
      </c>
      <c r="OJ83" s="40"/>
      <c r="OK83" s="40"/>
      <c r="OL83" s="40"/>
      <c r="OM83" s="40"/>
      <c r="ON83" s="40"/>
      <c r="OO83" s="40"/>
      <c r="OP83" s="1">
        <v>30665</v>
      </c>
      <c r="OQ83" s="40"/>
      <c r="OR83" s="77">
        <f t="shared" si="83"/>
        <v>0</v>
      </c>
      <c r="OS83" s="8">
        <f t="shared" si="49"/>
        <v>30747</v>
      </c>
      <c r="OT83" s="37"/>
      <c r="OU83" s="126">
        <f t="shared" si="65"/>
        <v>758677</v>
      </c>
      <c r="OV83" s="71">
        <f t="shared" si="73"/>
        <v>-8.2932625476558289E-2</v>
      </c>
      <c r="OW83" s="139">
        <f>IF(A83="","",SUM(Z$17:Z83))</f>
        <v>20000</v>
      </c>
      <c r="OX83" s="139">
        <f t="shared" si="52"/>
        <v>777714</v>
      </c>
      <c r="OY83" s="132">
        <f t="shared" si="53"/>
        <v>8.9862652030790829E-2</v>
      </c>
      <c r="OZ83" s="140">
        <f t="shared" si="66"/>
        <v>1115878</v>
      </c>
      <c r="PA83" s="84">
        <f t="shared" si="77"/>
        <v>5.0896844516186146E-2</v>
      </c>
      <c r="PB83" s="130">
        <f>IF(A83="","",SUM(HB$17:HB83)+SUM(KY$17:KY83))</f>
        <v>115756.47</v>
      </c>
      <c r="PC83" s="131">
        <f t="shared" si="54"/>
        <v>882707.47</v>
      </c>
      <c r="PD83" s="132">
        <f t="shared" si="55"/>
        <v>0.33638062983614447</v>
      </c>
      <c r="PE83" s="133">
        <f t="shared" si="67"/>
        <v>766951</v>
      </c>
      <c r="PF83" s="84">
        <f t="shared" si="69"/>
        <v>-2.5625030967284572E-2</v>
      </c>
      <c r="PG83" s="133">
        <f t="shared" si="68"/>
        <v>1107604</v>
      </c>
      <c r="PH83" s="84">
        <f t="shared" si="70"/>
        <v>5.0862115119886678E-3</v>
      </c>
      <c r="PI83" s="135">
        <f t="shared" si="56"/>
        <v>1874555</v>
      </c>
      <c r="PJ83" s="136">
        <f t="shared" si="74"/>
        <v>-7.7099390192258829E-3</v>
      </c>
      <c r="PK83" s="123">
        <f t="shared" si="72"/>
        <v>0.15199834475999816</v>
      </c>
      <c r="PL83" s="137">
        <f t="shared" si="57"/>
        <v>135756.47</v>
      </c>
      <c r="PM83" s="9">
        <f t="shared" si="58"/>
        <v>1660421.47</v>
      </c>
      <c r="PN83" s="138">
        <f t="shared" si="59"/>
        <v>0.20836139028170961</v>
      </c>
      <c r="PO83" s="86">
        <f>IF(PI83="","",MAX(PI$15:PI83))</f>
        <v>1889120</v>
      </c>
      <c r="PP83" s="113">
        <f t="shared" si="75"/>
        <v>-7.769844042986202E-3</v>
      </c>
      <c r="PQ83" s="41"/>
      <c r="PR83" s="302"/>
    </row>
    <row r="84" spans="1:434" s="1" customFormat="1" ht="15" customHeight="1" x14ac:dyDescent="0.45">
      <c r="A84" s="18">
        <v>44563</v>
      </c>
      <c r="B84" s="3" t="s">
        <v>306</v>
      </c>
      <c r="C84" s="4">
        <v>51960</v>
      </c>
      <c r="D84" s="10"/>
      <c r="E84" s="10"/>
      <c r="F84" s="10"/>
      <c r="G84" s="4"/>
      <c r="H84" s="4"/>
      <c r="I84" s="4">
        <v>24258</v>
      </c>
      <c r="J84" s="4">
        <v>17958</v>
      </c>
      <c r="K84" s="4">
        <v>21757</v>
      </c>
      <c r="L84" s="4">
        <v>27711</v>
      </c>
      <c r="M84" s="4">
        <v>26906</v>
      </c>
      <c r="N84" s="4"/>
      <c r="O84" s="10"/>
      <c r="P84" s="4">
        <v>76164</v>
      </c>
      <c r="Q84" s="4"/>
      <c r="R84" s="4"/>
      <c r="S84" s="4"/>
      <c r="T84" s="4"/>
      <c r="U84" s="10"/>
      <c r="V84" s="10"/>
      <c r="W84" s="10"/>
      <c r="X84" s="4"/>
      <c r="Y84" s="18" t="str">
        <f t="shared" si="64"/>
        <v/>
      </c>
      <c r="Z84" s="4"/>
      <c r="AA84" s="77">
        <f t="shared" si="78"/>
        <v>6.4741950091177225E-3</v>
      </c>
      <c r="AB84" s="8">
        <f t="shared" si="60"/>
        <v>246714</v>
      </c>
      <c r="AC84" s="2"/>
      <c r="AD84" s="3" t="s">
        <v>392</v>
      </c>
      <c r="AE84" s="4">
        <v>20862</v>
      </c>
      <c r="AF84" s="4">
        <v>168344</v>
      </c>
      <c r="AG84" s="4"/>
      <c r="AH84" s="4"/>
      <c r="AI84" s="1">
        <v>10832</v>
      </c>
      <c r="AJ84" s="4"/>
      <c r="AK84" s="4"/>
      <c r="AL84" s="4">
        <v>31446</v>
      </c>
      <c r="AM84" s="4"/>
      <c r="AN84" s="1">
        <v>7227</v>
      </c>
      <c r="AO84" s="4"/>
      <c r="AP84" s="10"/>
      <c r="AQ84" s="4"/>
      <c r="AR84" s="4"/>
      <c r="AS84" s="4"/>
      <c r="AT84" s="4">
        <v>44942</v>
      </c>
      <c r="AU84" s="4"/>
      <c r="AW84" s="4"/>
      <c r="AX84" s="4"/>
      <c r="AY84" s="4"/>
      <c r="AZ84" s="4"/>
      <c r="BA84" s="4"/>
      <c r="BB84" s="4"/>
      <c r="BC84" s="4"/>
      <c r="BD84" s="4"/>
      <c r="BE84" s="4">
        <v>23176</v>
      </c>
      <c r="BF84" s="4"/>
      <c r="BG84" s="1">
        <v>7629</v>
      </c>
      <c r="BH84" s="4"/>
      <c r="BI84" s="4"/>
      <c r="BJ84" s="4">
        <v>24900</v>
      </c>
      <c r="BK84" s="4"/>
      <c r="BL84" s="4"/>
      <c r="BM84" s="4"/>
      <c r="BN84" s="4"/>
      <c r="BO84" s="4"/>
      <c r="BP84" s="4"/>
      <c r="BQ84" s="4"/>
      <c r="BR84" s="1">
        <v>9178</v>
      </c>
      <c r="BS84" s="10"/>
      <c r="BT84" s="4"/>
      <c r="BU84" s="4"/>
      <c r="BV84" s="4"/>
      <c r="BW84" s="4"/>
      <c r="BX84" s="1">
        <v>6673</v>
      </c>
      <c r="BY84" s="1">
        <v>10633</v>
      </c>
      <c r="CA84" s="4"/>
      <c r="CB84" s="4"/>
      <c r="CC84" s="4"/>
      <c r="CD84" s="4"/>
      <c r="CE84" s="4"/>
      <c r="CF84" s="4">
        <v>42379</v>
      </c>
      <c r="CG84" s="4"/>
      <c r="CH84" s="4">
        <v>30128</v>
      </c>
      <c r="CI84" s="4"/>
      <c r="CJ84" s="10"/>
      <c r="CK84" s="4"/>
      <c r="CL84" s="10"/>
      <c r="CM84" s="1">
        <v>11489</v>
      </c>
      <c r="CN84" s="4"/>
      <c r="CO84" s="10"/>
      <c r="CP84" s="4"/>
      <c r="CQ84" s="4">
        <v>17402</v>
      </c>
      <c r="CR84" s="10"/>
      <c r="CS84" s="4"/>
      <c r="CT84" s="4"/>
      <c r="CU84" s="4">
        <v>7453</v>
      </c>
      <c r="CV84" s="4">
        <v>25035</v>
      </c>
      <c r="CW84" s="4"/>
      <c r="CX84" s="4"/>
      <c r="CY84" s="77">
        <f t="shared" si="76"/>
        <v>3.5055705950460127E-2</v>
      </c>
      <c r="CZ84" s="8">
        <f t="shared" si="61"/>
        <v>499728</v>
      </c>
      <c r="DA84" s="2"/>
      <c r="DD84" s="1">
        <v>18823</v>
      </c>
      <c r="DF84" s="1">
        <v>3814</v>
      </c>
      <c r="DH84" s="4"/>
      <c r="DJ84" s="4"/>
      <c r="DL84" s="1">
        <v>15144</v>
      </c>
      <c r="DM84" s="1">
        <v>24172</v>
      </c>
      <c r="DN84" s="1">
        <v>15255</v>
      </c>
      <c r="DP84" s="1">
        <v>25263</v>
      </c>
      <c r="DQ84" s="1">
        <v>15882</v>
      </c>
      <c r="DR84" s="1">
        <v>18552</v>
      </c>
      <c r="DU84" s="1">
        <v>14221</v>
      </c>
      <c r="DX84" s="2"/>
      <c r="DY84" s="32"/>
      <c r="DZ84" s="4">
        <v>390</v>
      </c>
      <c r="EA84" s="32"/>
      <c r="EB84" s="32"/>
      <c r="EC84" s="32"/>
      <c r="ED84" s="32"/>
      <c r="EE84" s="4">
        <v>14521</v>
      </c>
      <c r="EF84" s="4">
        <v>14009</v>
      </c>
      <c r="EG84" s="32"/>
      <c r="EH84" s="32"/>
      <c r="EI84" s="32"/>
      <c r="EJ84" s="32"/>
      <c r="EK84" s="5"/>
      <c r="EO84" s="2"/>
      <c r="EQ84" s="468" t="s">
        <v>1</v>
      </c>
      <c r="ER84"/>
      <c r="ES84" s="6" t="s">
        <v>393</v>
      </c>
      <c r="ET84" s="10"/>
      <c r="EU84" s="10"/>
      <c r="EV84" s="10"/>
      <c r="EW84" s="10"/>
      <c r="EX84" s="4">
        <f>7488-4000</f>
        <v>3488</v>
      </c>
      <c r="EY84" s="4"/>
      <c r="EZ84" s="4"/>
      <c r="FA84" s="4"/>
      <c r="FB84" s="4"/>
      <c r="FC84" s="4">
        <v>16672</v>
      </c>
      <c r="FD84" s="4"/>
      <c r="FE84" s="4"/>
      <c r="FF84" s="4"/>
      <c r="FG84" s="4"/>
      <c r="FH84" s="10"/>
      <c r="FI84" s="10"/>
      <c r="FJ84" s="10"/>
      <c r="FK84" s="10"/>
      <c r="FL84" s="10"/>
      <c r="FM84" s="10"/>
      <c r="FN84" s="4">
        <v>11617</v>
      </c>
      <c r="FO84" s="4"/>
      <c r="FP84" s="10"/>
      <c r="FQ84" s="4"/>
      <c r="FR84" s="4"/>
      <c r="FS84" s="10"/>
      <c r="FT84" s="4">
        <v>24258</v>
      </c>
      <c r="FU84" s="4">
        <v>17958</v>
      </c>
      <c r="FV84" s="4">
        <v>24062</v>
      </c>
      <c r="FW84" s="4">
        <v>21757</v>
      </c>
      <c r="FX84" s="4">
        <v>7396</v>
      </c>
      <c r="FY84" s="4">
        <v>27711</v>
      </c>
      <c r="FZ84" s="10"/>
      <c r="GA84" s="10"/>
      <c r="GB84" s="10"/>
      <c r="GC84" s="10"/>
      <c r="GD84" s="4">
        <v>26906</v>
      </c>
      <c r="GE84" s="4">
        <v>20980</v>
      </c>
      <c r="GF84" s="4"/>
      <c r="GG84" s="4"/>
      <c r="GH84" s="4"/>
      <c r="GI84" s="4"/>
      <c r="GJ84" s="4">
        <v>23750</v>
      </c>
      <c r="GK84" s="4"/>
      <c r="GL84" s="4"/>
      <c r="GM84" s="4"/>
      <c r="GN84" s="10"/>
      <c r="GO84" s="10"/>
      <c r="GP84" s="4"/>
      <c r="GQ84" s="10"/>
      <c r="GR84" s="4">
        <v>22674</v>
      </c>
      <c r="GS84" s="10"/>
      <c r="GT84" s="4"/>
      <c r="GU84" s="10"/>
      <c r="GV84" s="4"/>
      <c r="GW84" s="10"/>
      <c r="GX84" s="10"/>
      <c r="GY84" s="10"/>
      <c r="GZ84" s="10"/>
      <c r="HA84" s="18"/>
      <c r="HB84" s="4"/>
      <c r="HC84" s="77">
        <f t="shared" si="79"/>
        <v>1.6501959760668563E-2</v>
      </c>
      <c r="HD84" s="8">
        <f t="shared" si="51"/>
        <v>249229</v>
      </c>
      <c r="HE84" s="2"/>
      <c r="HF84" s="3"/>
      <c r="HG84" s="4">
        <f>13434+275.25</f>
        <v>13709.25</v>
      </c>
      <c r="HH84" s="4"/>
      <c r="HI84" s="4">
        <v>20310</v>
      </c>
      <c r="HJ84" s="4"/>
      <c r="HK84" s="4"/>
      <c r="HL84" s="4"/>
      <c r="HM84" s="4"/>
      <c r="HN84" s="4">
        <v>31446</v>
      </c>
      <c r="HO84" s="4">
        <v>26694</v>
      </c>
      <c r="HP84" s="4"/>
      <c r="HQ84" s="4">
        <v>18215</v>
      </c>
      <c r="HR84" s="4"/>
      <c r="HS84" s="4"/>
      <c r="HT84" s="10"/>
      <c r="HU84" s="10"/>
      <c r="HV84" s="4"/>
      <c r="HW84" s="4"/>
      <c r="HX84" s="4"/>
      <c r="HY84" s="4"/>
      <c r="HZ84" s="4">
        <v>27249</v>
      </c>
      <c r="IA84" s="4">
        <v>19962</v>
      </c>
      <c r="IB84" s="4"/>
      <c r="IC84" s="4">
        <v>23356</v>
      </c>
      <c r="ID84" s="10"/>
      <c r="IE84" s="4">
        <v>23083</v>
      </c>
      <c r="IF84" s="10"/>
      <c r="IG84" s="4"/>
      <c r="IH84" s="4"/>
      <c r="II84" s="4"/>
      <c r="IJ84" s="4">
        <v>23974</v>
      </c>
      <c r="IK84" s="4"/>
      <c r="IL84" s="4"/>
      <c r="IM84" s="4">
        <v>23176</v>
      </c>
      <c r="IN84" s="4"/>
      <c r="IO84" s="4"/>
      <c r="IP84" s="4">
        <v>24900</v>
      </c>
      <c r="IQ84" s="4"/>
      <c r="IR84" s="4"/>
      <c r="IS84" s="4"/>
      <c r="IT84" s="10"/>
      <c r="IU84" s="4"/>
      <c r="IV84" s="4"/>
      <c r="IW84" s="4">
        <v>20528</v>
      </c>
      <c r="IX84" s="10"/>
      <c r="IY84" s="4"/>
      <c r="IZ84" s="4">
        <v>22204</v>
      </c>
      <c r="JA84" s="4"/>
      <c r="JB84" s="4"/>
      <c r="JC84" s="4"/>
      <c r="JD84" s="4"/>
      <c r="JE84" s="4"/>
      <c r="JF84" s="10"/>
      <c r="JG84" s="10"/>
      <c r="JH84" s="10"/>
      <c r="JI84" s="4">
        <v>24857</v>
      </c>
      <c r="JJ84" s="4"/>
      <c r="JK84" s="4">
        <v>19539</v>
      </c>
      <c r="JL84" s="4"/>
      <c r="JM84" s="4"/>
      <c r="JN84" s="10"/>
      <c r="JO84" s="10"/>
      <c r="JP84" s="4"/>
      <c r="JQ84" s="4"/>
      <c r="JR84" s="4"/>
      <c r="JS84" s="4">
        <v>16533</v>
      </c>
      <c r="JT84" s="4">
        <v>23394</v>
      </c>
      <c r="JU84" s="10"/>
      <c r="JV84" s="4"/>
      <c r="JW84" s="4"/>
      <c r="JX84" s="4">
        <v>30128</v>
      </c>
      <c r="JY84" s="4"/>
      <c r="JZ84" s="4">
        <v>19291</v>
      </c>
      <c r="KA84" s="4"/>
      <c r="KB84" s="4"/>
      <c r="KC84" s="4">
        <v>18420</v>
      </c>
      <c r="KD84" s="10"/>
      <c r="KE84" s="10"/>
      <c r="KF84" s="10"/>
      <c r="KG84" s="4"/>
      <c r="KH84" s="10"/>
      <c r="KI84" s="10"/>
      <c r="KJ84" s="10"/>
      <c r="KK84" s="10"/>
      <c r="KL84" s="4">
        <v>17402</v>
      </c>
      <c r="KM84" s="10"/>
      <c r="KN84" s="4"/>
      <c r="KO84" s="4"/>
      <c r="KP84" s="4">
        <v>7453</v>
      </c>
      <c r="KQ84" s="4">
        <v>25035</v>
      </c>
      <c r="KR84" s="10"/>
      <c r="KS84" s="4">
        <v>24406</v>
      </c>
      <c r="KT84" s="4">
        <v>12238</v>
      </c>
      <c r="KU84" s="4"/>
      <c r="KV84" s="4"/>
      <c r="KW84" s="4"/>
      <c r="KX84" s="18"/>
      <c r="KY84" s="4"/>
      <c r="KZ84" s="77">
        <f t="shared" si="80"/>
        <v>6.8486856227288756E-2</v>
      </c>
      <c r="LA84" s="8">
        <f t="shared" si="62"/>
        <v>557502.25</v>
      </c>
      <c r="LB84" s="2"/>
      <c r="LC84" s="43" t="s">
        <v>306</v>
      </c>
      <c r="LD84" s="1">
        <v>4010</v>
      </c>
      <c r="LF84" s="1">
        <v>10832</v>
      </c>
      <c r="LG84" s="1">
        <v>18823</v>
      </c>
      <c r="LI84" s="1">
        <v>7227</v>
      </c>
      <c r="LM84" s="1">
        <v>3814</v>
      </c>
      <c r="LQ84" s="1">
        <v>11246</v>
      </c>
      <c r="LU84" s="1">
        <v>15295</v>
      </c>
      <c r="LY84" s="1">
        <v>7629</v>
      </c>
      <c r="MD84" s="1">
        <v>15144</v>
      </c>
      <c r="ME84" s="1">
        <v>9178</v>
      </c>
      <c r="MI84" s="1">
        <v>24172</v>
      </c>
      <c r="ML84" s="1">
        <v>7693</v>
      </c>
      <c r="MM84" s="1">
        <v>6673</v>
      </c>
      <c r="MN84" s="1">
        <v>10633</v>
      </c>
      <c r="MO84" s="172">
        <v>9025</v>
      </c>
      <c r="MT84" s="1">
        <v>15255</v>
      </c>
      <c r="MV84" s="1">
        <v>25263</v>
      </c>
      <c r="MW84" s="1">
        <v>9060</v>
      </c>
      <c r="MX84" s="1">
        <v>15882</v>
      </c>
      <c r="NC84" s="1">
        <v>18552</v>
      </c>
      <c r="NF84" s="1">
        <v>14221</v>
      </c>
      <c r="NG84" s="1">
        <v>11489</v>
      </c>
      <c r="NH84" s="1">
        <v>6381</v>
      </c>
      <c r="NI84" s="1">
        <v>14985</v>
      </c>
      <c r="NK84" s="1">
        <v>9353</v>
      </c>
      <c r="NL84" s="1">
        <v>8736</v>
      </c>
      <c r="NM84" s="1">
        <v>7453</v>
      </c>
      <c r="NN84" s="1">
        <v>10014</v>
      </c>
      <c r="NO84" s="77"/>
      <c r="NP84" s="63"/>
      <c r="NQ84"/>
      <c r="NR84" s="77">
        <f t="shared" si="81"/>
        <v>2.7871518410242432E-2</v>
      </c>
      <c r="NS84" s="8">
        <f t="shared" si="84"/>
        <v>328038</v>
      </c>
      <c r="NT84" s="2"/>
      <c r="NU84" s="40" t="s">
        <v>306</v>
      </c>
      <c r="NV84" s="4">
        <v>390</v>
      </c>
      <c r="NW84" s="4"/>
      <c r="NX84" s="4"/>
      <c r="NY84" s="4"/>
      <c r="NZ84" s="4"/>
      <c r="OA84" s="4">
        <v>14521</v>
      </c>
      <c r="OB84" s="4">
        <v>14009</v>
      </c>
      <c r="OC84" s="4"/>
      <c r="OD84" s="4"/>
      <c r="OE84" s="77">
        <f t="shared" si="82"/>
        <v>-2.9008863819500404E-2</v>
      </c>
      <c r="OF84" s="8">
        <f t="shared" si="71"/>
        <v>28920</v>
      </c>
      <c r="OG84" s="2"/>
      <c r="OH84" s="7" t="s">
        <v>306</v>
      </c>
      <c r="OI84" s="1">
        <v>82</v>
      </c>
      <c r="OJ84" s="40"/>
      <c r="OK84" s="40"/>
      <c r="OL84" s="40"/>
      <c r="OM84" s="40"/>
      <c r="ON84" s="40"/>
      <c r="OO84" s="40"/>
      <c r="OP84" s="1">
        <v>30671</v>
      </c>
      <c r="OQ84" s="40"/>
      <c r="OR84" s="77">
        <f t="shared" si="83"/>
        <v>1.9514098936481607E-4</v>
      </c>
      <c r="OS84" s="8">
        <f t="shared" si="49"/>
        <v>30753</v>
      </c>
      <c r="OT84" s="37"/>
      <c r="OU84" s="126">
        <f t="shared" si="65"/>
        <v>777195</v>
      </c>
      <c r="OV84" s="71">
        <f t="shared" si="73"/>
        <v>2.4408279149097704E-2</v>
      </c>
      <c r="OW84" s="139">
        <f>IF(A84="","",SUM(Z$17:Z84))</f>
        <v>20000</v>
      </c>
      <c r="OX84" s="139">
        <f t="shared" si="52"/>
        <v>795362</v>
      </c>
      <c r="OY84" s="132">
        <f t="shared" si="53"/>
        <v>0.11459397496317908</v>
      </c>
      <c r="OZ84" s="140">
        <f t="shared" si="66"/>
        <v>1163689.25</v>
      </c>
      <c r="PA84" s="84">
        <f t="shared" si="77"/>
        <v>4.2846305778947158E-2</v>
      </c>
      <c r="PB84" s="130">
        <f>IF(A84="","",SUM(HB$17:HB84)+SUM(KY$17:KY84))</f>
        <v>115756.47</v>
      </c>
      <c r="PC84" s="131">
        <f t="shared" si="54"/>
        <v>922487.72</v>
      </c>
      <c r="PD84" s="132">
        <f t="shared" si="55"/>
        <v>0.3966061942012441</v>
      </c>
      <c r="PE84" s="133">
        <f t="shared" si="67"/>
        <v>806731.25</v>
      </c>
      <c r="PF84" s="84">
        <f t="shared" si="69"/>
        <v>5.1868046328904974E-2</v>
      </c>
      <c r="PG84" s="133">
        <f t="shared" si="68"/>
        <v>1134153</v>
      </c>
      <c r="PH84" s="84">
        <f t="shared" si="70"/>
        <v>2.3969758144607639E-2</v>
      </c>
      <c r="PI84" s="135">
        <f t="shared" si="56"/>
        <v>1940884.25</v>
      </c>
      <c r="PJ84" s="136">
        <f t="shared" si="74"/>
        <v>3.5383997802145045E-2</v>
      </c>
      <c r="PK84" s="123">
        <f t="shared" si="72"/>
        <v>0.17065871423728937</v>
      </c>
      <c r="PL84" s="137">
        <f t="shared" si="57"/>
        <v>135756.47</v>
      </c>
      <c r="PM84" s="9">
        <f t="shared" si="58"/>
        <v>1717849.72</v>
      </c>
      <c r="PN84" s="138">
        <f t="shared" si="59"/>
        <v>0.25015444178413659</v>
      </c>
      <c r="PO84" s="86">
        <f>IF(PI84="","",MAX(PI$15:PI84))</f>
        <v>1940884.25</v>
      </c>
      <c r="PP84" s="113">
        <f t="shared" si="75"/>
        <v>0</v>
      </c>
      <c r="PQ84" s="41"/>
      <c r="PR84" s="302"/>
    </row>
    <row r="85" spans="1:434" s="1" customFormat="1" ht="15" customHeight="1" x14ac:dyDescent="0.45">
      <c r="A85" s="18">
        <v>44594</v>
      </c>
      <c r="B85" s="3" t="s">
        <v>306</v>
      </c>
      <c r="C85" s="4">
        <v>51961</v>
      </c>
      <c r="D85" s="10"/>
      <c r="E85" s="10"/>
      <c r="F85" s="10"/>
      <c r="G85" s="4"/>
      <c r="H85" s="4"/>
      <c r="I85" s="4">
        <v>23504</v>
      </c>
      <c r="J85" s="4">
        <v>17976</v>
      </c>
      <c r="K85" s="4">
        <v>19251</v>
      </c>
      <c r="L85" s="4">
        <v>26451</v>
      </c>
      <c r="M85" s="4">
        <v>24701</v>
      </c>
      <c r="N85" s="4"/>
      <c r="O85" s="10"/>
      <c r="P85" s="4">
        <v>75955</v>
      </c>
      <c r="Q85" s="4"/>
      <c r="R85" s="4"/>
      <c r="S85" s="4"/>
      <c r="T85" s="4"/>
      <c r="U85" s="10"/>
      <c r="V85" s="10"/>
      <c r="W85" s="10"/>
      <c r="X85" s="4"/>
      <c r="Y85" s="18" t="str">
        <f t="shared" si="64"/>
        <v/>
      </c>
      <c r="Z85" s="4"/>
      <c r="AA85" s="77">
        <f t="shared" si="78"/>
        <v>-2.8028405360052529E-2</v>
      </c>
      <c r="AB85" s="8">
        <f t="shared" si="60"/>
        <v>239799</v>
      </c>
      <c r="AC85" s="2"/>
      <c r="AD85" s="3" t="s">
        <v>306</v>
      </c>
      <c r="AE85" s="4">
        <v>21749</v>
      </c>
      <c r="AF85" s="4">
        <v>166519</v>
      </c>
      <c r="AG85" s="4"/>
      <c r="AH85" s="4"/>
      <c r="AI85" s="1">
        <v>8905</v>
      </c>
      <c r="AJ85" s="4"/>
      <c r="AK85" s="4"/>
      <c r="AL85" s="4">
        <v>30174</v>
      </c>
      <c r="AM85" s="4"/>
      <c r="AN85" s="1">
        <v>7101</v>
      </c>
      <c r="AO85" s="4"/>
      <c r="AP85" s="10"/>
      <c r="AQ85" s="4"/>
      <c r="AR85" s="4"/>
      <c r="AS85" s="4"/>
      <c r="AT85" s="4">
        <v>46564</v>
      </c>
      <c r="AU85" s="4"/>
      <c r="AW85" s="4"/>
      <c r="AX85" s="4"/>
      <c r="AY85" s="4"/>
      <c r="AZ85" s="4"/>
      <c r="BA85" s="4"/>
      <c r="BB85" s="4"/>
      <c r="BC85" s="4"/>
      <c r="BD85" s="4"/>
      <c r="BE85" s="4">
        <v>22023</v>
      </c>
      <c r="BF85" s="4"/>
      <c r="BG85" s="1">
        <v>7029</v>
      </c>
      <c r="BH85" s="4"/>
      <c r="BI85" s="4"/>
      <c r="BJ85" s="4">
        <v>22122</v>
      </c>
      <c r="BK85" s="4"/>
      <c r="BL85" s="4"/>
      <c r="BM85" s="4"/>
      <c r="BN85" s="4"/>
      <c r="BO85" s="4"/>
      <c r="BP85" s="4"/>
      <c r="BQ85" s="4"/>
      <c r="BR85" s="1">
        <v>9387</v>
      </c>
      <c r="BS85" s="10"/>
      <c r="BT85" s="4"/>
      <c r="BU85" s="4"/>
      <c r="BV85" s="4"/>
      <c r="BW85" s="4"/>
      <c r="BX85" s="1">
        <v>6626</v>
      </c>
      <c r="BY85" s="1">
        <v>10383</v>
      </c>
      <c r="CA85" s="4"/>
      <c r="CB85" s="4"/>
      <c r="CC85" s="4"/>
      <c r="CD85" s="4"/>
      <c r="CE85" s="4"/>
      <c r="CF85" s="4">
        <v>42553</v>
      </c>
      <c r="CG85" s="4"/>
      <c r="CH85" s="4">
        <v>28105</v>
      </c>
      <c r="CI85" s="4"/>
      <c r="CJ85" s="10"/>
      <c r="CK85" s="4"/>
      <c r="CL85" s="10"/>
      <c r="CM85" s="1">
        <v>11156</v>
      </c>
      <c r="CN85" s="4"/>
      <c r="CO85" s="10"/>
      <c r="CP85" s="4"/>
      <c r="CQ85" s="4">
        <v>15879</v>
      </c>
      <c r="CR85" s="10"/>
      <c r="CS85" s="4"/>
      <c r="CT85" s="4"/>
      <c r="CU85" s="4">
        <v>7215</v>
      </c>
      <c r="CV85" s="4">
        <v>22464</v>
      </c>
      <c r="CW85" s="4"/>
      <c r="CX85" s="4"/>
      <c r="CY85" s="77">
        <f t="shared" si="76"/>
        <v>-2.7562994268882271E-2</v>
      </c>
      <c r="CZ85" s="8">
        <f t="shared" si="61"/>
        <v>485954</v>
      </c>
      <c r="DA85" s="2"/>
      <c r="DD85" s="1">
        <v>18414</v>
      </c>
      <c r="DF85" s="1">
        <v>7455</v>
      </c>
      <c r="DH85" s="4"/>
      <c r="DJ85" s="4"/>
      <c r="DL85" s="1">
        <v>15129</v>
      </c>
      <c r="DM85" s="1">
        <v>23783</v>
      </c>
      <c r="DN85" s="1">
        <v>15138</v>
      </c>
      <c r="DP85" s="1">
        <v>24804</v>
      </c>
      <c r="DQ85" s="1">
        <v>15686</v>
      </c>
      <c r="DR85" s="1">
        <v>18070</v>
      </c>
      <c r="DU85" s="1">
        <v>14040</v>
      </c>
      <c r="DX85" s="2"/>
      <c r="DY85" s="32"/>
      <c r="DZ85" s="4">
        <v>353</v>
      </c>
      <c r="EA85" s="32"/>
      <c r="EB85" s="32"/>
      <c r="EC85" s="32"/>
      <c r="ED85" s="32"/>
      <c r="EE85" s="4">
        <v>14174</v>
      </c>
      <c r="EF85" s="4">
        <v>13848</v>
      </c>
      <c r="EG85" s="32"/>
      <c r="EH85" s="32"/>
      <c r="EI85" s="32"/>
      <c r="EJ85" s="32"/>
      <c r="EK85" s="5"/>
      <c r="EO85" s="2"/>
      <c r="EQ85" s="468" t="s">
        <v>1</v>
      </c>
      <c r="ER85"/>
      <c r="ES85" s="6" t="s">
        <v>394</v>
      </c>
      <c r="ET85" s="10"/>
      <c r="EU85" s="10"/>
      <c r="EV85" s="10"/>
      <c r="EW85" s="10"/>
      <c r="EX85" s="4">
        <v>476</v>
      </c>
      <c r="EY85" s="4"/>
      <c r="EZ85" s="4"/>
      <c r="FA85" s="4"/>
      <c r="FB85" s="4"/>
      <c r="FC85" s="4">
        <v>15119</v>
      </c>
      <c r="FD85" s="4"/>
      <c r="FE85" s="4"/>
      <c r="FF85" s="4"/>
      <c r="FG85" s="4"/>
      <c r="FH85" s="10"/>
      <c r="FI85" s="10"/>
      <c r="FJ85" s="10"/>
      <c r="FK85" s="10"/>
      <c r="FL85" s="10"/>
      <c r="FM85" s="10"/>
      <c r="FN85" s="4">
        <v>10837</v>
      </c>
      <c r="FO85" s="4"/>
      <c r="FP85" s="10"/>
      <c r="FQ85" s="4"/>
      <c r="FR85" s="4"/>
      <c r="FS85" s="10"/>
      <c r="FT85" s="4">
        <v>23504</v>
      </c>
      <c r="FU85" s="4">
        <v>17976</v>
      </c>
      <c r="FV85" s="4">
        <v>22545</v>
      </c>
      <c r="FW85" s="4">
        <v>19251</v>
      </c>
      <c r="FX85" s="4">
        <v>7227</v>
      </c>
      <c r="FY85" s="4">
        <v>26451</v>
      </c>
      <c r="FZ85" s="10"/>
      <c r="GA85" s="10"/>
      <c r="GB85" s="10"/>
      <c r="GC85" s="10"/>
      <c r="GD85" s="4">
        <v>24701</v>
      </c>
      <c r="GE85" s="4">
        <v>19340</v>
      </c>
      <c r="GF85" s="4"/>
      <c r="GG85" s="4"/>
      <c r="GH85" s="4"/>
      <c r="GI85" s="4"/>
      <c r="GJ85" s="4">
        <v>25813</v>
      </c>
      <c r="GK85" s="4"/>
      <c r="GL85" s="4"/>
      <c r="GM85" s="4"/>
      <c r="GN85" s="10"/>
      <c r="GO85" s="10"/>
      <c r="GP85" s="4"/>
      <c r="GQ85" s="10"/>
      <c r="GR85" s="4">
        <v>22204</v>
      </c>
      <c r="GS85" s="10"/>
      <c r="GT85" s="4"/>
      <c r="GU85" s="10"/>
      <c r="GV85" s="4"/>
      <c r="GW85" s="10"/>
      <c r="GX85" s="10"/>
      <c r="GY85" s="10"/>
      <c r="GZ85" s="10"/>
      <c r="HA85" s="18"/>
      <c r="HB85" s="4"/>
      <c r="HC85" s="77">
        <f t="shared" si="79"/>
        <v>-5.5310577822003056E-2</v>
      </c>
      <c r="HD85" s="8">
        <f t="shared" si="51"/>
        <v>235444</v>
      </c>
      <c r="HE85" s="2"/>
      <c r="HF85" s="3" t="s">
        <v>306</v>
      </c>
      <c r="HG85" s="4">
        <v>12559</v>
      </c>
      <c r="HH85" s="4"/>
      <c r="HI85" s="4">
        <v>20550</v>
      </c>
      <c r="HJ85" s="4"/>
      <c r="HK85" s="4"/>
      <c r="HL85" s="4"/>
      <c r="HM85" s="4"/>
      <c r="HN85" s="4">
        <v>30174</v>
      </c>
      <c r="HO85" s="4">
        <v>28164</v>
      </c>
      <c r="HP85" s="4"/>
      <c r="HQ85" s="4">
        <v>16873</v>
      </c>
      <c r="HR85" s="4"/>
      <c r="HS85" s="4"/>
      <c r="HT85" s="10"/>
      <c r="HU85" s="10"/>
      <c r="HV85" s="4"/>
      <c r="HW85" s="4"/>
      <c r="HX85" s="4"/>
      <c r="HY85" s="4"/>
      <c r="HZ85" s="4">
        <v>23809</v>
      </c>
      <c r="IA85" s="4">
        <v>19445</v>
      </c>
      <c r="IB85" s="4"/>
      <c r="IC85" s="4">
        <v>18257</v>
      </c>
      <c r="ID85" s="10"/>
      <c r="IE85" s="4">
        <v>22740</v>
      </c>
      <c r="IF85" s="10"/>
      <c r="IG85" s="4"/>
      <c r="IH85" s="4"/>
      <c r="II85" s="4"/>
      <c r="IJ85" s="4">
        <v>24480</v>
      </c>
      <c r="IK85" s="4"/>
      <c r="IL85" s="4"/>
      <c r="IM85" s="4">
        <v>22023</v>
      </c>
      <c r="IN85" s="4"/>
      <c r="IO85" s="4"/>
      <c r="IP85" s="4">
        <v>22122</v>
      </c>
      <c r="IQ85" s="4"/>
      <c r="IR85" s="4"/>
      <c r="IS85" s="4"/>
      <c r="IT85" s="10"/>
      <c r="IU85" s="4"/>
      <c r="IV85" s="4"/>
      <c r="IW85" s="4">
        <v>20506</v>
      </c>
      <c r="IX85" s="10"/>
      <c r="IY85" s="4"/>
      <c r="IZ85" s="4">
        <v>22710</v>
      </c>
      <c r="JA85" s="4"/>
      <c r="JB85" s="4"/>
      <c r="JC85" s="4"/>
      <c r="JD85" s="4"/>
      <c r="JE85" s="4"/>
      <c r="JF85" s="10"/>
      <c r="JG85" s="10"/>
      <c r="JH85" s="10"/>
      <c r="JI85" s="4">
        <v>25692</v>
      </c>
      <c r="JJ85" s="4"/>
      <c r="JK85" s="4">
        <v>18417</v>
      </c>
      <c r="JL85" s="4"/>
      <c r="JM85" s="4"/>
      <c r="JN85" s="10"/>
      <c r="JO85" s="10"/>
      <c r="JP85" s="4"/>
      <c r="JQ85" s="4"/>
      <c r="JR85" s="4"/>
      <c r="JS85" s="4">
        <v>16236</v>
      </c>
      <c r="JT85" s="4">
        <v>19752</v>
      </c>
      <c r="JU85" s="10"/>
      <c r="JV85" s="4"/>
      <c r="JW85" s="4"/>
      <c r="JX85" s="4">
        <v>28105</v>
      </c>
      <c r="JY85" s="4"/>
      <c r="JZ85" s="4">
        <v>20762</v>
      </c>
      <c r="KA85" s="4"/>
      <c r="KB85" s="4"/>
      <c r="KC85" s="4">
        <v>19751</v>
      </c>
      <c r="KD85" s="10"/>
      <c r="KE85" s="10"/>
      <c r="KF85" s="10"/>
      <c r="KG85" s="4"/>
      <c r="KH85" s="10"/>
      <c r="KI85" s="10"/>
      <c r="KJ85" s="10"/>
      <c r="KK85" s="10"/>
      <c r="KL85" s="4">
        <v>15879</v>
      </c>
      <c r="KM85" s="10"/>
      <c r="KN85" s="4"/>
      <c r="KO85" s="4"/>
      <c r="KP85" s="4">
        <v>7215</v>
      </c>
      <c r="KQ85" s="4">
        <v>22464</v>
      </c>
      <c r="KR85" s="10"/>
      <c r="KS85" s="4">
        <v>24750</v>
      </c>
      <c r="KT85" s="4">
        <v>16166</v>
      </c>
      <c r="KU85" s="4"/>
      <c r="KV85" s="4"/>
      <c r="KW85" s="4"/>
      <c r="KX85" s="18"/>
      <c r="KY85" s="4"/>
      <c r="KZ85" s="77">
        <f t="shared" si="80"/>
        <v>-3.210973587998972E-2</v>
      </c>
      <c r="LA85" s="8">
        <f t="shared" si="62"/>
        <v>539601</v>
      </c>
      <c r="LB85" s="2"/>
      <c r="LC85" s="43" t="s">
        <v>395</v>
      </c>
      <c r="LD85" s="1">
        <v>3778</v>
      </c>
      <c r="LF85" s="1">
        <v>8905</v>
      </c>
      <c r="LG85" s="1">
        <v>18414</v>
      </c>
      <c r="LI85" s="1">
        <v>7101</v>
      </c>
      <c r="LM85" s="1">
        <v>7455</v>
      </c>
      <c r="LQ85" s="1">
        <v>7439</v>
      </c>
      <c r="LU85" s="1">
        <v>15295</v>
      </c>
      <c r="LY85" s="1">
        <v>7029</v>
      </c>
      <c r="MD85" s="1">
        <v>15129</v>
      </c>
      <c r="ME85" s="1">
        <v>9387</v>
      </c>
      <c r="MI85" s="1">
        <v>23783</v>
      </c>
      <c r="ML85" s="1">
        <v>7091</v>
      </c>
      <c r="MM85" s="1">
        <v>6626</v>
      </c>
      <c r="MN85" s="1">
        <v>10383</v>
      </c>
      <c r="MO85" s="172">
        <v>9809</v>
      </c>
      <c r="MT85" s="1">
        <v>15138</v>
      </c>
      <c r="MV85" s="1">
        <v>24804</v>
      </c>
      <c r="MW85" s="1">
        <v>8928</v>
      </c>
      <c r="MX85" s="1">
        <v>15686</v>
      </c>
      <c r="NC85" s="1">
        <v>18070</v>
      </c>
      <c r="NF85" s="1">
        <v>14040</v>
      </c>
      <c r="NG85" s="1">
        <v>11156</v>
      </c>
      <c r="NH85" s="1">
        <v>5822</v>
      </c>
      <c r="NI85" s="1">
        <v>14940</v>
      </c>
      <c r="NK85" s="1">
        <v>9576</v>
      </c>
      <c r="NL85" s="1">
        <v>8564</v>
      </c>
      <c r="NM85" s="1">
        <v>7215</v>
      </c>
      <c r="NN85" s="1">
        <v>8986</v>
      </c>
      <c r="NO85" s="77"/>
      <c r="NP85" s="63"/>
      <c r="NQ85"/>
      <c r="NR85" s="77">
        <f t="shared" si="81"/>
        <v>-2.2829672172126399E-2</v>
      </c>
      <c r="NS85" s="8">
        <f t="shared" si="84"/>
        <v>320549</v>
      </c>
      <c r="NT85" s="2"/>
      <c r="NU85" s="40" t="s">
        <v>306</v>
      </c>
      <c r="NV85" s="4">
        <v>353</v>
      </c>
      <c r="NW85" s="4"/>
      <c r="NX85" s="4"/>
      <c r="NY85" s="4"/>
      <c r="NZ85" s="4"/>
      <c r="OA85" s="4">
        <v>14174</v>
      </c>
      <c r="OB85" s="4">
        <v>13848</v>
      </c>
      <c r="OC85" s="4"/>
      <c r="OD85" s="4"/>
      <c r="OE85" s="77">
        <f t="shared" si="82"/>
        <v>-1.8845089903181188E-2</v>
      </c>
      <c r="OF85" s="8">
        <f t="shared" si="71"/>
        <v>28375</v>
      </c>
      <c r="OG85" s="2"/>
      <c r="OH85" s="7" t="s">
        <v>306</v>
      </c>
      <c r="OI85" s="1">
        <v>82</v>
      </c>
      <c r="OJ85" s="40"/>
      <c r="OK85" s="40"/>
      <c r="OL85" s="40"/>
      <c r="OM85" s="40"/>
      <c r="ON85" s="40"/>
      <c r="OO85" s="40"/>
      <c r="OP85" s="1">
        <v>30587</v>
      </c>
      <c r="OQ85" s="40"/>
      <c r="OR85" s="77">
        <f t="shared" si="83"/>
        <v>-2.7314408350404837E-3</v>
      </c>
      <c r="OS85" s="8">
        <f t="shared" si="49"/>
        <v>30669</v>
      </c>
      <c r="OT85" s="37"/>
      <c r="OU85" s="126">
        <f t="shared" si="65"/>
        <v>756422</v>
      </c>
      <c r="OV85" s="71">
        <f t="shared" si="73"/>
        <v>-2.6728169893012695E-2</v>
      </c>
      <c r="OW85" s="139">
        <f>IF(A85="","",SUM(Z$17:Z85))</f>
        <v>20000</v>
      </c>
      <c r="OX85" s="139">
        <f t="shared" si="52"/>
        <v>774128</v>
      </c>
      <c r="OY85" s="132">
        <f t="shared" si="53"/>
        <v>8.4837350351532892E-2</v>
      </c>
      <c r="OZ85" s="140">
        <f t="shared" si="66"/>
        <v>1123969</v>
      </c>
      <c r="PA85" s="84">
        <f t="shared" si="77"/>
        <v>-3.413303852381553E-2</v>
      </c>
      <c r="PB85" s="130">
        <f>IF(A85="","",SUM(HB$17:HB85)+SUM(KY$17:KY85))</f>
        <v>115756.47</v>
      </c>
      <c r="PC85" s="131">
        <f t="shared" si="54"/>
        <v>890801.47</v>
      </c>
      <c r="PD85" s="132">
        <f t="shared" si="55"/>
        <v>0.34863459299552924</v>
      </c>
      <c r="PE85" s="133">
        <f t="shared" si="67"/>
        <v>775045</v>
      </c>
      <c r="PF85" s="84">
        <f t="shared" si="69"/>
        <v>-3.9277330585619434E-2</v>
      </c>
      <c r="PG85" s="133">
        <f t="shared" si="68"/>
        <v>1105346</v>
      </c>
      <c r="PH85" s="84">
        <f t="shared" si="70"/>
        <v>-2.5399571310043705E-2</v>
      </c>
      <c r="PI85" s="135">
        <f t="shared" si="56"/>
        <v>1880391</v>
      </c>
      <c r="PJ85" s="136">
        <f t="shared" si="74"/>
        <v>-3.1167881340682733E-2</v>
      </c>
      <c r="PK85" s="123">
        <f t="shared" si="72"/>
        <v>0.11975758716214768</v>
      </c>
      <c r="PL85" s="137">
        <f t="shared" si="57"/>
        <v>135756.47</v>
      </c>
      <c r="PM85" s="9">
        <f t="shared" si="58"/>
        <v>1664929.47</v>
      </c>
      <c r="PN85" s="138">
        <f t="shared" si="59"/>
        <v>0.21164205922378848</v>
      </c>
      <c r="PO85" s="86">
        <f>IF(PI85="","",MAX(PI$15:PI85))</f>
        <v>1940884.25</v>
      </c>
      <c r="PP85" s="113">
        <f t="shared" si="75"/>
        <v>-3.2170569844250478E-2</v>
      </c>
      <c r="PQ85" s="41"/>
      <c r="PR85" s="302"/>
    </row>
    <row r="86" spans="1:434" s="1" customFormat="1" ht="15" customHeight="1" x14ac:dyDescent="0.45">
      <c r="A86" s="18">
        <v>44622</v>
      </c>
      <c r="B86" s="3" t="s">
        <v>306</v>
      </c>
      <c r="C86" s="4">
        <v>51961</v>
      </c>
      <c r="D86" s="10"/>
      <c r="E86" s="10"/>
      <c r="F86" s="10"/>
      <c r="G86" s="4"/>
      <c r="H86" s="4"/>
      <c r="I86" s="4">
        <v>22304</v>
      </c>
      <c r="J86" s="4">
        <v>16983</v>
      </c>
      <c r="K86" s="4">
        <v>19543</v>
      </c>
      <c r="L86" s="4">
        <v>24374</v>
      </c>
      <c r="M86" s="4">
        <v>24015</v>
      </c>
      <c r="N86" s="4"/>
      <c r="O86" s="10"/>
      <c r="P86" s="4">
        <v>75397</v>
      </c>
      <c r="Q86" s="4"/>
      <c r="R86" s="4"/>
      <c r="S86" s="4"/>
      <c r="T86" s="4"/>
      <c r="U86" s="10"/>
      <c r="V86" s="10"/>
      <c r="W86" s="10"/>
      <c r="X86" s="4"/>
      <c r="Y86" s="18" t="str">
        <f t="shared" si="64"/>
        <v/>
      </c>
      <c r="Z86" s="4"/>
      <c r="AA86" s="77">
        <f t="shared" si="78"/>
        <v>-2.1776571211723151E-2</v>
      </c>
      <c r="AB86" s="8">
        <f t="shared" si="60"/>
        <v>234577</v>
      </c>
      <c r="AC86" s="2"/>
      <c r="AD86" s="3" t="s">
        <v>306</v>
      </c>
      <c r="AE86" s="4">
        <v>22265</v>
      </c>
      <c r="AF86" s="4">
        <f>272487-AE86-AT86-CF86</f>
        <v>165413</v>
      </c>
      <c r="AG86" s="4"/>
      <c r="AH86" s="4"/>
      <c r="AI86" s="1">
        <v>9722</v>
      </c>
      <c r="AJ86" s="4"/>
      <c r="AK86" s="4"/>
      <c r="AL86" s="4">
        <v>28182</v>
      </c>
      <c r="AM86" s="4"/>
      <c r="AN86" s="1">
        <v>6655</v>
      </c>
      <c r="AO86" s="4"/>
      <c r="AP86" s="10"/>
      <c r="AQ86" s="4"/>
      <c r="AR86" s="4"/>
      <c r="AS86" s="4"/>
      <c r="AT86" s="4">
        <v>43746</v>
      </c>
      <c r="AU86" s="4"/>
      <c r="AW86" s="4"/>
      <c r="AX86" s="4"/>
      <c r="AY86" s="4"/>
      <c r="AZ86" s="4"/>
      <c r="BA86" s="4"/>
      <c r="BB86" s="4"/>
      <c r="BC86" s="4"/>
      <c r="BD86" s="4"/>
      <c r="BE86" s="4">
        <v>21531</v>
      </c>
      <c r="BF86" s="4"/>
      <c r="BG86" s="1">
        <v>6702</v>
      </c>
      <c r="BH86" s="4"/>
      <c r="BI86" s="4"/>
      <c r="BJ86" s="4">
        <v>19642</v>
      </c>
      <c r="BK86" s="4"/>
      <c r="BL86" s="4"/>
      <c r="BM86" s="4"/>
      <c r="BN86" s="4"/>
      <c r="BO86" s="4"/>
      <c r="BP86" s="4"/>
      <c r="BQ86" s="4"/>
      <c r="BR86" s="1">
        <v>9677</v>
      </c>
      <c r="BS86" s="10"/>
      <c r="BT86" s="4"/>
      <c r="BU86" s="4"/>
      <c r="BV86" s="4"/>
      <c r="BW86" s="4"/>
      <c r="BX86" s="1">
        <v>6538</v>
      </c>
      <c r="BY86" s="1">
        <v>9996</v>
      </c>
      <c r="CA86" s="4"/>
      <c r="CB86" s="4"/>
      <c r="CC86" s="4"/>
      <c r="CD86" s="4"/>
      <c r="CE86" s="4"/>
      <c r="CF86" s="4">
        <v>41063</v>
      </c>
      <c r="CG86" s="4"/>
      <c r="CH86" s="4">
        <v>29123</v>
      </c>
      <c r="CI86" s="4"/>
      <c r="CJ86" s="10"/>
      <c r="CK86" s="4"/>
      <c r="CL86" s="10"/>
      <c r="CM86" s="1">
        <v>10670</v>
      </c>
      <c r="CN86" s="4"/>
      <c r="CO86" s="10"/>
      <c r="CP86" s="4"/>
      <c r="CQ86" s="4">
        <v>15587</v>
      </c>
      <c r="CR86" s="10"/>
      <c r="CS86" s="4"/>
      <c r="CT86" s="4"/>
      <c r="CU86" s="4">
        <v>6725</v>
      </c>
      <c r="CV86" s="4">
        <v>22524</v>
      </c>
      <c r="CW86" s="4"/>
      <c r="CX86" s="4"/>
      <c r="CY86" s="77">
        <f t="shared" si="76"/>
        <v>-2.0975236339241986E-2</v>
      </c>
      <c r="CZ86" s="8">
        <f t="shared" si="61"/>
        <v>475761</v>
      </c>
      <c r="DA86" s="2"/>
      <c r="DD86" s="1">
        <v>18066</v>
      </c>
      <c r="DF86" s="1">
        <v>10557</v>
      </c>
      <c r="DH86" s="4"/>
      <c r="DJ86" s="4"/>
      <c r="DL86" s="1">
        <v>15098</v>
      </c>
      <c r="DM86" s="1">
        <v>23373</v>
      </c>
      <c r="DN86" s="1">
        <v>15054</v>
      </c>
      <c r="DP86" s="1">
        <v>24633</v>
      </c>
      <c r="DQ86" s="1">
        <v>15915</v>
      </c>
      <c r="DR86" s="1">
        <v>17650</v>
      </c>
      <c r="DU86" s="1">
        <v>13879</v>
      </c>
      <c r="DX86" s="2"/>
      <c r="DY86" s="32"/>
      <c r="DZ86" s="4">
        <v>397</v>
      </c>
      <c r="EA86" s="32"/>
      <c r="EB86" s="32"/>
      <c r="EC86" s="32"/>
      <c r="ED86" s="32"/>
      <c r="EE86" s="4">
        <v>13800</v>
      </c>
      <c r="EF86" s="4">
        <v>13663</v>
      </c>
      <c r="EG86" s="32"/>
      <c r="EH86" s="32"/>
      <c r="EI86" s="32"/>
      <c r="EJ86" s="32"/>
      <c r="EK86" s="5"/>
      <c r="EO86" s="2"/>
      <c r="EQ86" s="468" t="s">
        <v>1</v>
      </c>
      <c r="ER86"/>
      <c r="ES86" s="6"/>
      <c r="ET86" s="10"/>
      <c r="EU86" s="10"/>
      <c r="EV86" s="10"/>
      <c r="EW86" s="10"/>
      <c r="EX86" s="4">
        <v>1798</v>
      </c>
      <c r="EY86" s="4"/>
      <c r="EZ86" s="4"/>
      <c r="FA86" s="4"/>
      <c r="FB86" s="4"/>
      <c r="FC86" s="4">
        <v>15205</v>
      </c>
      <c r="FD86" s="4"/>
      <c r="FE86" s="4"/>
      <c r="FF86" s="4"/>
      <c r="FG86" s="4"/>
      <c r="FH86" s="10"/>
      <c r="FI86" s="10"/>
      <c r="FJ86" s="10"/>
      <c r="FK86" s="10"/>
      <c r="FL86" s="10"/>
      <c r="FM86" s="10"/>
      <c r="FN86" s="4">
        <v>11051</v>
      </c>
      <c r="FO86" s="4"/>
      <c r="FP86" s="10"/>
      <c r="FQ86" s="4"/>
      <c r="FR86" s="4"/>
      <c r="FS86" s="10"/>
      <c r="FT86" s="4">
        <v>22304</v>
      </c>
      <c r="FU86" s="4">
        <v>16983</v>
      </c>
      <c r="FV86" s="4">
        <v>20056</v>
      </c>
      <c r="FW86" s="4">
        <v>19543</v>
      </c>
      <c r="FX86" s="4">
        <v>7069</v>
      </c>
      <c r="FY86" s="4">
        <v>24374</v>
      </c>
      <c r="FZ86" s="10"/>
      <c r="GA86" s="10"/>
      <c r="GB86" s="10"/>
      <c r="GC86" s="10"/>
      <c r="GD86" s="4">
        <v>24015</v>
      </c>
      <c r="GE86" s="4">
        <v>19503</v>
      </c>
      <c r="GF86" s="4"/>
      <c r="GG86" s="4"/>
      <c r="GH86" s="4"/>
      <c r="GI86" s="4"/>
      <c r="GJ86" s="4">
        <v>23072</v>
      </c>
      <c r="GK86" s="4"/>
      <c r="GL86" s="4"/>
      <c r="GM86" s="4"/>
      <c r="GN86" s="10"/>
      <c r="GO86" s="10"/>
      <c r="GP86" s="4"/>
      <c r="GQ86" s="10"/>
      <c r="GR86" s="4">
        <v>22713</v>
      </c>
      <c r="GS86" s="10"/>
      <c r="GT86" s="4"/>
      <c r="GU86" s="10"/>
      <c r="GV86" s="4"/>
      <c r="GW86" s="10"/>
      <c r="GX86" s="10"/>
      <c r="GY86" s="10"/>
      <c r="GZ86" s="10"/>
      <c r="HA86" s="18"/>
      <c r="HB86" s="4"/>
      <c r="HC86" s="77">
        <f t="shared" si="79"/>
        <v>-3.2950510524795702E-2</v>
      </c>
      <c r="HD86" s="8">
        <f t="shared" si="51"/>
        <v>227686</v>
      </c>
      <c r="HE86" s="2"/>
      <c r="HF86" s="3"/>
      <c r="HG86" s="4">
        <v>12542</v>
      </c>
      <c r="HH86" s="4"/>
      <c r="HI86" s="4">
        <v>22436</v>
      </c>
      <c r="HJ86" s="4"/>
      <c r="HK86" s="4"/>
      <c r="HL86" s="4"/>
      <c r="HM86" s="4"/>
      <c r="HN86" s="4">
        <v>28182</v>
      </c>
      <c r="HO86" s="4">
        <v>25896</v>
      </c>
      <c r="HP86" s="4"/>
      <c r="HQ86" s="4">
        <v>22687</v>
      </c>
      <c r="HR86" s="4"/>
      <c r="HS86" s="4"/>
      <c r="HT86" s="10"/>
      <c r="HU86" s="10"/>
      <c r="HV86" s="4"/>
      <c r="HW86" s="4"/>
      <c r="HX86" s="4"/>
      <c r="HY86" s="4"/>
      <c r="HZ86" s="4">
        <v>24145</v>
      </c>
      <c r="IA86" s="4">
        <v>19843</v>
      </c>
      <c r="IB86" s="4"/>
      <c r="IC86" s="4">
        <v>18193</v>
      </c>
      <c r="ID86" s="10"/>
      <c r="IE86" s="4">
        <v>22621</v>
      </c>
      <c r="IF86" s="10"/>
      <c r="IG86" s="4"/>
      <c r="IH86" s="4">
        <v>20811</v>
      </c>
      <c r="II86" s="4"/>
      <c r="IJ86" s="4">
        <v>27111</v>
      </c>
      <c r="IK86" s="4"/>
      <c r="IL86" s="4"/>
      <c r="IM86" s="4">
        <v>21531</v>
      </c>
      <c r="IN86" s="4"/>
      <c r="IO86" s="4"/>
      <c r="IP86" s="4">
        <v>19642</v>
      </c>
      <c r="IQ86" s="4"/>
      <c r="IR86" s="4"/>
      <c r="IS86" s="4"/>
      <c r="IT86" s="10"/>
      <c r="IU86" s="4"/>
      <c r="IV86" s="4"/>
      <c r="IW86" s="4">
        <v>19925</v>
      </c>
      <c r="IX86" s="10"/>
      <c r="IY86" s="4"/>
      <c r="IZ86" s="4">
        <v>23411</v>
      </c>
      <c r="JA86" s="4"/>
      <c r="JB86" s="4"/>
      <c r="JC86" s="4"/>
      <c r="JD86" s="4"/>
      <c r="JE86" s="4"/>
      <c r="JF86" s="10"/>
      <c r="JG86" s="10"/>
      <c r="JH86" s="10"/>
      <c r="JI86" s="4"/>
      <c r="JJ86" s="4"/>
      <c r="JK86" s="4">
        <v>16194</v>
      </c>
      <c r="JL86" s="4"/>
      <c r="JM86" s="4"/>
      <c r="JN86" s="10"/>
      <c r="JO86" s="10"/>
      <c r="JP86" s="4"/>
      <c r="JQ86" s="4"/>
      <c r="JR86" s="4"/>
      <c r="JS86" s="4">
        <v>14146</v>
      </c>
      <c r="JT86" s="4">
        <v>18554</v>
      </c>
      <c r="JU86" s="10"/>
      <c r="JV86" s="4"/>
      <c r="JW86" s="4"/>
      <c r="JX86" s="4">
        <v>29123</v>
      </c>
      <c r="JY86" s="4"/>
      <c r="JZ86" s="4">
        <v>19031</v>
      </c>
      <c r="KA86" s="4"/>
      <c r="KB86" s="4"/>
      <c r="KC86" s="4">
        <v>17721</v>
      </c>
      <c r="KD86" s="10"/>
      <c r="KE86" s="10"/>
      <c r="KF86" s="10"/>
      <c r="KG86" s="4"/>
      <c r="KH86" s="10"/>
      <c r="KI86" s="10"/>
      <c r="KJ86" s="10"/>
      <c r="KK86" s="10"/>
      <c r="KL86" s="4">
        <v>15587</v>
      </c>
      <c r="KM86" s="10"/>
      <c r="KN86" s="4"/>
      <c r="KO86" s="4"/>
      <c r="KP86" s="4">
        <v>6725</v>
      </c>
      <c r="KQ86" s="4">
        <v>22524</v>
      </c>
      <c r="KR86" s="10"/>
      <c r="KS86" s="4">
        <v>23788</v>
      </c>
      <c r="KT86" s="4">
        <v>16106</v>
      </c>
      <c r="KU86" s="4"/>
      <c r="KV86" s="4"/>
      <c r="KW86" s="4"/>
      <c r="KX86" s="18"/>
      <c r="KY86" s="4"/>
      <c r="KZ86" s="77">
        <f t="shared" si="80"/>
        <v>-2.0618938808489976E-2</v>
      </c>
      <c r="LA86" s="8">
        <f t="shared" si="62"/>
        <v>528475</v>
      </c>
      <c r="LB86" s="2"/>
      <c r="LC86" s="43"/>
      <c r="LD86" s="1">
        <v>3871</v>
      </c>
      <c r="LF86" s="1">
        <v>9722</v>
      </c>
      <c r="LG86" s="1">
        <v>18066</v>
      </c>
      <c r="LI86" s="1">
        <v>6655</v>
      </c>
      <c r="LM86" s="1">
        <v>10557</v>
      </c>
      <c r="LQ86" s="1">
        <v>7412</v>
      </c>
      <c r="LU86" s="1">
        <v>15280</v>
      </c>
      <c r="LY86" s="1">
        <v>6702</v>
      </c>
      <c r="MD86" s="1">
        <v>15098</v>
      </c>
      <c r="ME86" s="1">
        <v>9677</v>
      </c>
      <c r="MI86" s="1">
        <v>23373</v>
      </c>
      <c r="ML86" s="1">
        <v>7151</v>
      </c>
      <c r="MM86" s="1">
        <v>6538</v>
      </c>
      <c r="MN86" s="1">
        <v>9996</v>
      </c>
      <c r="MO86" s="172">
        <v>7178</v>
      </c>
      <c r="MT86" s="1">
        <v>15054</v>
      </c>
      <c r="MV86" s="1">
        <v>24633</v>
      </c>
      <c r="MW86" s="1">
        <v>8826</v>
      </c>
      <c r="MX86" s="1">
        <v>15915</v>
      </c>
      <c r="NC86" s="1">
        <v>17650</v>
      </c>
      <c r="NF86" s="1">
        <v>13879</v>
      </c>
      <c r="NG86" s="1">
        <v>10670</v>
      </c>
      <c r="NH86" s="1">
        <v>5715</v>
      </c>
      <c r="NI86" s="1">
        <v>14886</v>
      </c>
      <c r="NK86" s="1">
        <v>9745</v>
      </c>
      <c r="NL86" s="1">
        <v>8153</v>
      </c>
      <c r="NM86" s="1">
        <v>6725</v>
      </c>
      <c r="NN86" s="1">
        <v>9010</v>
      </c>
      <c r="NO86" s="77"/>
      <c r="NP86" s="63"/>
      <c r="NQ86"/>
      <c r="NR86" s="77">
        <f t="shared" si="81"/>
        <v>-7.5245906242103391E-3</v>
      </c>
      <c r="NS86" s="8">
        <f t="shared" si="84"/>
        <v>318137</v>
      </c>
      <c r="NT86" s="2"/>
      <c r="NU86" s="40" t="s">
        <v>306</v>
      </c>
      <c r="NV86" s="4">
        <v>397</v>
      </c>
      <c r="NW86" s="4"/>
      <c r="NX86" s="4"/>
      <c r="NY86" s="4"/>
      <c r="NZ86" s="4"/>
      <c r="OA86" s="4">
        <v>13800</v>
      </c>
      <c r="OB86" s="4">
        <v>13663</v>
      </c>
      <c r="OC86" s="4"/>
      <c r="OD86" s="4"/>
      <c r="OE86" s="77">
        <f t="shared" si="82"/>
        <v>-1.8149779735682818E-2</v>
      </c>
      <c r="OF86" s="8">
        <f t="shared" si="71"/>
        <v>27860</v>
      </c>
      <c r="OG86" s="2"/>
      <c r="OH86" s="7" t="s">
        <v>306</v>
      </c>
      <c r="OI86" s="1">
        <v>82</v>
      </c>
      <c r="OJ86" s="40"/>
      <c r="OK86" s="40"/>
      <c r="OL86" s="40"/>
      <c r="OM86" s="40"/>
      <c r="ON86" s="40"/>
      <c r="OO86" s="40"/>
      <c r="OP86" s="1">
        <v>30362</v>
      </c>
      <c r="OQ86" s="40"/>
      <c r="OR86" s="77">
        <f t="shared" si="83"/>
        <v>-7.336398317519319E-3</v>
      </c>
      <c r="OS86" s="8">
        <f t="shared" si="49"/>
        <v>30444</v>
      </c>
      <c r="OT86" s="37"/>
      <c r="OU86" s="126">
        <f t="shared" si="65"/>
        <v>740782</v>
      </c>
      <c r="OV86" s="71">
        <f t="shared" si="73"/>
        <v>-2.0676289161341156E-2</v>
      </c>
      <c r="OW86" s="139">
        <f>IF(A86="","",SUM(Z$17:Z86))</f>
        <v>20000</v>
      </c>
      <c r="OX86" s="139">
        <f t="shared" si="52"/>
        <v>758198</v>
      </c>
      <c r="OY86" s="132">
        <f t="shared" si="53"/>
        <v>6.2513575741778529E-2</v>
      </c>
      <c r="OZ86" s="140">
        <f t="shared" si="66"/>
        <v>1102158</v>
      </c>
      <c r="PA86" s="84">
        <f t="shared" si="77"/>
        <v>-1.9405339471106408E-2</v>
      </c>
      <c r="PB86" s="130">
        <f>IF(A86="","",SUM(HB$17:HB86)+SUM(KY$17:KY86))</f>
        <v>115756.47</v>
      </c>
      <c r="PC86" s="131">
        <f t="shared" si="54"/>
        <v>871917.47</v>
      </c>
      <c r="PD86" s="132">
        <f t="shared" si="55"/>
        <v>0.32004504020311236</v>
      </c>
      <c r="PE86" s="133">
        <f t="shared" si="67"/>
        <v>756161</v>
      </c>
      <c r="PF86" s="84">
        <f t="shared" si="69"/>
        <v>-2.4365036868826972E-2</v>
      </c>
      <c r="PG86" s="133">
        <f t="shared" si="68"/>
        <v>1086779</v>
      </c>
      <c r="PH86" s="84">
        <f t="shared" si="70"/>
        <v>-1.6797455276447375E-2</v>
      </c>
      <c r="PI86" s="135">
        <f t="shared" si="56"/>
        <v>1842940</v>
      </c>
      <c r="PJ86" s="136">
        <f t="shared" si="74"/>
        <v>-1.9916602451298691E-2</v>
      </c>
      <c r="PK86" s="123">
        <f t="shared" si="72"/>
        <v>8.240805868757356E-2</v>
      </c>
      <c r="PL86" s="137">
        <f t="shared" si="57"/>
        <v>135756.47</v>
      </c>
      <c r="PM86" s="9">
        <f t="shared" si="58"/>
        <v>1630115.47</v>
      </c>
      <c r="PN86" s="138">
        <f t="shared" si="59"/>
        <v>0.18630638740712169</v>
      </c>
      <c r="PO86" s="86">
        <f>IF(PI86="","",MAX(PI$15:PI86))</f>
        <v>1940884.25</v>
      </c>
      <c r="PP86" s="113">
        <f t="shared" si="75"/>
        <v>-5.3145653141176599E-2</v>
      </c>
      <c r="PQ86" s="41"/>
      <c r="PR86" s="302"/>
    </row>
    <row r="87" spans="1:434" s="1" customFormat="1" ht="15" customHeight="1" x14ac:dyDescent="0.45">
      <c r="A87" s="18">
        <v>44653</v>
      </c>
      <c r="B87" s="3" t="s">
        <v>306</v>
      </c>
      <c r="C87" s="4">
        <v>48450</v>
      </c>
      <c r="D87" s="10"/>
      <c r="E87" s="10"/>
      <c r="F87" s="10"/>
      <c r="G87" s="4"/>
      <c r="H87" s="4"/>
      <c r="I87" s="4">
        <v>22815</v>
      </c>
      <c r="J87" s="4">
        <v>16941</v>
      </c>
      <c r="K87" s="4">
        <v>19624</v>
      </c>
      <c r="L87" s="4">
        <v>20297</v>
      </c>
      <c r="M87" s="4">
        <v>24754</v>
      </c>
      <c r="N87" s="4"/>
      <c r="O87" s="10"/>
      <c r="P87" s="4">
        <v>74072</v>
      </c>
      <c r="Q87" s="4"/>
      <c r="R87" s="4"/>
      <c r="S87" s="4"/>
      <c r="T87" s="4"/>
      <c r="U87" s="10"/>
      <c r="V87" s="10"/>
      <c r="W87" s="10"/>
      <c r="X87" s="4"/>
      <c r="Y87" s="18" t="str">
        <f t="shared" si="64"/>
        <v/>
      </c>
      <c r="Z87" s="4"/>
      <c r="AA87" s="77">
        <f t="shared" si="78"/>
        <v>-3.2501055090652535E-2</v>
      </c>
      <c r="AB87" s="8">
        <f t="shared" si="60"/>
        <v>226953</v>
      </c>
      <c r="AC87" s="2"/>
      <c r="AD87" s="3" t="s">
        <v>306</v>
      </c>
      <c r="AE87" s="4">
        <v>22847</v>
      </c>
      <c r="AF87" s="4">
        <v>162182</v>
      </c>
      <c r="AG87" s="4"/>
      <c r="AH87" s="4"/>
      <c r="AI87" s="1">
        <v>10574</v>
      </c>
      <c r="AJ87" s="4"/>
      <c r="AK87" s="4"/>
      <c r="AL87" s="4">
        <v>29618</v>
      </c>
      <c r="AM87" s="4"/>
      <c r="AN87" s="1">
        <v>6565</v>
      </c>
      <c r="AO87" s="4"/>
      <c r="AP87" s="10"/>
      <c r="AQ87" s="4"/>
      <c r="AR87" s="4"/>
      <c r="AS87" s="4"/>
      <c r="AT87" s="4">
        <v>45207</v>
      </c>
      <c r="AU87" s="4"/>
      <c r="AW87" s="4"/>
      <c r="AX87" s="4"/>
      <c r="AY87" s="4"/>
      <c r="AZ87" s="4"/>
      <c r="BA87" s="4"/>
      <c r="BB87" s="4"/>
      <c r="BC87" s="4"/>
      <c r="BD87" s="4"/>
      <c r="BE87" s="4">
        <v>22424</v>
      </c>
      <c r="BF87" s="4"/>
      <c r="BG87" s="1">
        <v>6447</v>
      </c>
      <c r="BH87" s="4"/>
      <c r="BI87" s="4"/>
      <c r="BJ87" s="4">
        <v>18113</v>
      </c>
      <c r="BK87" s="4"/>
      <c r="BL87" s="4"/>
      <c r="BM87" s="4"/>
      <c r="BN87" s="4"/>
      <c r="BO87" s="4"/>
      <c r="BP87" s="4"/>
      <c r="BQ87" s="4"/>
      <c r="BR87" s="1">
        <v>9745</v>
      </c>
      <c r="BS87" s="10"/>
      <c r="BT87" s="4"/>
      <c r="BU87" s="4"/>
      <c r="BV87" s="4"/>
      <c r="BW87" s="4"/>
      <c r="BX87" s="1">
        <v>7106</v>
      </c>
      <c r="BY87" s="1">
        <v>10081</v>
      </c>
      <c r="CA87" s="4"/>
      <c r="CB87" s="4"/>
      <c r="CC87" s="4"/>
      <c r="CD87" s="4"/>
      <c r="CE87" s="4"/>
      <c r="CF87" s="4">
        <v>44315</v>
      </c>
      <c r="CG87" s="4"/>
      <c r="CH87" s="4">
        <v>30755</v>
      </c>
      <c r="CI87" s="4"/>
      <c r="CJ87" s="10"/>
      <c r="CK87" s="4"/>
      <c r="CL87" s="10"/>
      <c r="CM87" s="1">
        <v>10901</v>
      </c>
      <c r="CN87" s="4"/>
      <c r="CO87" s="10"/>
      <c r="CP87" s="4"/>
      <c r="CQ87" s="4">
        <v>16572</v>
      </c>
      <c r="CR87" s="10"/>
      <c r="CS87" s="4"/>
      <c r="CT87" s="4"/>
      <c r="CU87" s="4">
        <v>6625</v>
      </c>
      <c r="CV87" s="4">
        <v>23972</v>
      </c>
      <c r="CW87" s="4"/>
      <c r="CX87" s="4"/>
      <c r="CY87" s="77">
        <f t="shared" si="76"/>
        <v>1.74205115593754E-2</v>
      </c>
      <c r="CZ87" s="8">
        <f t="shared" si="61"/>
        <v>484049</v>
      </c>
      <c r="DA87" s="2"/>
      <c r="DD87" s="1">
        <v>17614</v>
      </c>
      <c r="DF87" s="1">
        <v>10292</v>
      </c>
      <c r="DH87" s="4"/>
      <c r="DJ87" s="4"/>
      <c r="DL87" s="1">
        <v>15066</v>
      </c>
      <c r="DM87" s="1">
        <v>22784</v>
      </c>
      <c r="DN87" s="1">
        <v>14820</v>
      </c>
      <c r="DP87" s="1">
        <v>23738</v>
      </c>
      <c r="DQ87" s="1">
        <v>15591</v>
      </c>
      <c r="DR87" s="1">
        <v>17142</v>
      </c>
      <c r="DS87" s="1">
        <v>14126</v>
      </c>
      <c r="DU87" s="1">
        <v>13626</v>
      </c>
      <c r="DX87" s="2"/>
      <c r="DY87" s="32"/>
      <c r="DZ87" s="4">
        <v>442</v>
      </c>
      <c r="EA87" s="32"/>
      <c r="EB87" s="32"/>
      <c r="EC87" s="32"/>
      <c r="ED87" s="32"/>
      <c r="EE87" s="4">
        <v>13406</v>
      </c>
      <c r="EF87" s="4">
        <v>13403</v>
      </c>
      <c r="EG87" s="32"/>
      <c r="EH87" s="32"/>
      <c r="EI87" s="32"/>
      <c r="EJ87" s="32"/>
      <c r="EK87" s="5"/>
      <c r="EO87" s="2"/>
      <c r="EQ87" s="468" t="s">
        <v>1</v>
      </c>
      <c r="ER87"/>
      <c r="ES87" s="6" t="s">
        <v>396</v>
      </c>
      <c r="ET87" s="10"/>
      <c r="EU87" s="10"/>
      <c r="EV87" s="10"/>
      <c r="EW87" s="10"/>
      <c r="EX87" s="4">
        <v>2163</v>
      </c>
      <c r="EY87" s="4"/>
      <c r="EZ87" s="4"/>
      <c r="FA87" s="4"/>
      <c r="FB87" s="4"/>
      <c r="FC87" s="4">
        <v>16356</v>
      </c>
      <c r="FD87" s="4"/>
      <c r="FE87" s="4"/>
      <c r="FF87" s="4"/>
      <c r="FG87" s="4"/>
      <c r="FH87" s="10"/>
      <c r="FI87" s="10"/>
      <c r="FJ87" s="10"/>
      <c r="FK87" s="10"/>
      <c r="FL87" s="10"/>
      <c r="FM87" s="10"/>
      <c r="FN87" s="4">
        <v>13700</v>
      </c>
      <c r="FO87" s="4"/>
      <c r="FP87" s="10"/>
      <c r="FQ87" s="4"/>
      <c r="FR87" s="4"/>
      <c r="FS87" s="10"/>
      <c r="FT87" s="4">
        <v>22815</v>
      </c>
      <c r="FU87" s="4">
        <v>16941</v>
      </c>
      <c r="FV87" s="4">
        <v>20256</v>
      </c>
      <c r="FW87" s="4">
        <v>19624</v>
      </c>
      <c r="FX87" s="4">
        <v>7115</v>
      </c>
      <c r="FY87" s="4">
        <v>20297</v>
      </c>
      <c r="FZ87" s="10"/>
      <c r="GA87" s="10"/>
      <c r="GB87" s="10"/>
      <c r="GC87" s="10"/>
      <c r="GD87" s="4">
        <v>24754</v>
      </c>
      <c r="GE87" s="4">
        <v>19575</v>
      </c>
      <c r="GF87" s="4"/>
      <c r="GG87" s="4"/>
      <c r="GH87" s="4"/>
      <c r="GI87" s="4"/>
      <c r="GJ87" s="4">
        <v>21776</v>
      </c>
      <c r="GK87" s="4"/>
      <c r="GL87" s="4"/>
      <c r="GM87" s="4"/>
      <c r="GN87" s="10"/>
      <c r="GO87" s="10"/>
      <c r="GP87" s="4"/>
      <c r="GQ87" s="10"/>
      <c r="GR87" s="4">
        <v>23396</v>
      </c>
      <c r="GS87" s="10"/>
      <c r="GT87" s="4"/>
      <c r="GU87" s="10"/>
      <c r="GV87" s="4"/>
      <c r="GW87" s="10"/>
      <c r="GX87" s="10"/>
      <c r="GY87" s="10"/>
      <c r="GZ87" s="10"/>
      <c r="HA87" s="18"/>
      <c r="HB87" s="4"/>
      <c r="HC87" s="77">
        <f t="shared" si="79"/>
        <v>4.7521586746659874E-3</v>
      </c>
      <c r="HD87" s="8">
        <f t="shared" si="51"/>
        <v>228768</v>
      </c>
      <c r="HE87" s="2"/>
      <c r="HF87" s="3" t="s">
        <v>396</v>
      </c>
      <c r="HG87" s="4">
        <v>12554</v>
      </c>
      <c r="HH87" s="4"/>
      <c r="HI87" s="4">
        <v>24402</v>
      </c>
      <c r="HJ87" s="4"/>
      <c r="HK87" s="4"/>
      <c r="HL87" s="4"/>
      <c r="HM87" s="4"/>
      <c r="HN87" s="4">
        <v>29618</v>
      </c>
      <c r="HO87" s="4">
        <v>24540</v>
      </c>
      <c r="HP87" s="4"/>
      <c r="HQ87" s="4">
        <v>23748</v>
      </c>
      <c r="HR87" s="4"/>
      <c r="HS87" s="4"/>
      <c r="HT87" s="10"/>
      <c r="HU87" s="10"/>
      <c r="HV87" s="4"/>
      <c r="HW87" s="4"/>
      <c r="HX87" s="4"/>
      <c r="HY87" s="4"/>
      <c r="HZ87" s="4">
        <v>23934</v>
      </c>
      <c r="IA87" s="4">
        <v>20252</v>
      </c>
      <c r="IB87" s="4"/>
      <c r="IC87" s="4">
        <v>18405</v>
      </c>
      <c r="ID87" s="10"/>
      <c r="IE87" s="4">
        <v>21915</v>
      </c>
      <c r="IF87" s="10"/>
      <c r="IG87" s="4"/>
      <c r="IH87" s="4">
        <v>22485</v>
      </c>
      <c r="II87" s="4"/>
      <c r="IJ87" s="4"/>
      <c r="IK87" s="4"/>
      <c r="IL87" s="4"/>
      <c r="IM87" s="4">
        <v>22424</v>
      </c>
      <c r="IN87" s="4"/>
      <c r="IO87" s="4"/>
      <c r="IP87" s="4">
        <v>18113</v>
      </c>
      <c r="IQ87" s="4"/>
      <c r="IR87" s="4"/>
      <c r="IS87" s="4"/>
      <c r="IT87" s="10"/>
      <c r="IU87" s="4"/>
      <c r="IV87" s="4"/>
      <c r="IW87" s="4">
        <v>21383</v>
      </c>
      <c r="IX87" s="10"/>
      <c r="IY87" s="4"/>
      <c r="IZ87" s="4">
        <v>23576</v>
      </c>
      <c r="JA87" s="4"/>
      <c r="JB87" s="4"/>
      <c r="JC87" s="4"/>
      <c r="JD87" s="4"/>
      <c r="JE87" s="4"/>
      <c r="JF87" s="10"/>
      <c r="JG87" s="10"/>
      <c r="JH87" s="10"/>
      <c r="JI87" s="4"/>
      <c r="JJ87" s="4"/>
      <c r="JK87" s="4">
        <v>16466</v>
      </c>
      <c r="JL87" s="4"/>
      <c r="JM87" s="4"/>
      <c r="JN87" s="10"/>
      <c r="JO87" s="10"/>
      <c r="JP87" s="4"/>
      <c r="JQ87" s="4"/>
      <c r="JR87" s="4"/>
      <c r="JS87" s="4">
        <v>15961</v>
      </c>
      <c r="JT87" s="4">
        <v>25160</v>
      </c>
      <c r="JU87" s="10"/>
      <c r="JV87" s="4"/>
      <c r="JW87" s="4"/>
      <c r="JX87" s="4">
        <v>30755</v>
      </c>
      <c r="JY87" s="4"/>
      <c r="JZ87" s="4">
        <v>18598</v>
      </c>
      <c r="KA87" s="4"/>
      <c r="KB87" s="4"/>
      <c r="KC87" s="4">
        <v>19241</v>
      </c>
      <c r="KD87" s="10"/>
      <c r="KE87" s="10"/>
      <c r="KF87" s="10"/>
      <c r="KG87" s="4"/>
      <c r="KH87" s="10"/>
      <c r="KI87" s="10"/>
      <c r="KJ87" s="10"/>
      <c r="KK87" s="10"/>
      <c r="KL87" s="4">
        <v>16572</v>
      </c>
      <c r="KM87" s="10"/>
      <c r="KN87" s="4"/>
      <c r="KO87" s="4">
        <v>23454</v>
      </c>
      <c r="KP87" s="4">
        <v>6625</v>
      </c>
      <c r="KQ87" s="4">
        <v>23972</v>
      </c>
      <c r="KR87" s="10"/>
      <c r="KS87" s="4">
        <v>23888</v>
      </c>
      <c r="KT87" s="4">
        <v>16624</v>
      </c>
      <c r="KU87" s="4"/>
      <c r="KV87" s="4"/>
      <c r="KW87" s="4"/>
      <c r="KX87" s="18"/>
      <c r="KY87" s="4"/>
      <c r="KZ87" s="77">
        <f t="shared" si="80"/>
        <v>3.063531860542126E-2</v>
      </c>
      <c r="LA87" s="8">
        <f t="shared" si="62"/>
        <v>544665</v>
      </c>
      <c r="LB87" s="2"/>
      <c r="LC87" s="43"/>
      <c r="LD87" s="1">
        <f>4402+1163</f>
        <v>5565</v>
      </c>
      <c r="LF87" s="1">
        <v>10574</v>
      </c>
      <c r="LG87" s="1">
        <v>17614</v>
      </c>
      <c r="LI87" s="1">
        <v>6565</v>
      </c>
      <c r="LM87" s="1">
        <v>10292</v>
      </c>
      <c r="LQ87" s="1">
        <v>7498</v>
      </c>
      <c r="LY87" s="1">
        <v>6447</v>
      </c>
      <c r="MD87" s="1">
        <v>15066</v>
      </c>
      <c r="ME87" s="1">
        <v>9745</v>
      </c>
      <c r="MI87" s="1">
        <v>22784</v>
      </c>
      <c r="ML87" s="1">
        <v>7177</v>
      </c>
      <c r="MM87" s="1">
        <v>7106</v>
      </c>
      <c r="MN87" s="1">
        <v>10081</v>
      </c>
      <c r="MO87" s="172">
        <v>6775</v>
      </c>
      <c r="MT87" s="1">
        <v>14820</v>
      </c>
      <c r="MV87" s="1">
        <v>23738</v>
      </c>
      <c r="MW87" s="1">
        <v>8760</v>
      </c>
      <c r="MX87" s="1">
        <v>15591</v>
      </c>
      <c r="NC87" s="1">
        <v>17142</v>
      </c>
      <c r="ND87" s="1">
        <v>14126</v>
      </c>
      <c r="NF87" s="1">
        <v>13626</v>
      </c>
      <c r="NG87" s="1">
        <v>10901</v>
      </c>
      <c r="NH87" s="1">
        <v>6076</v>
      </c>
      <c r="NI87" s="1">
        <v>14804</v>
      </c>
      <c r="NK87" s="1">
        <v>9382</v>
      </c>
      <c r="NL87" s="1">
        <v>9102</v>
      </c>
      <c r="NM87" s="1">
        <v>6625</v>
      </c>
      <c r="NN87" s="1">
        <v>9589</v>
      </c>
      <c r="NO87" s="77"/>
      <c r="NP87" s="63"/>
      <c r="NQ87"/>
      <c r="NR87" s="77">
        <f t="shared" si="81"/>
        <v>-1.7791077428906414E-3</v>
      </c>
      <c r="NS87" s="8">
        <f t="shared" si="84"/>
        <v>317571</v>
      </c>
      <c r="NT87" s="2"/>
      <c r="NU87" s="40" t="s">
        <v>306</v>
      </c>
      <c r="NV87" s="4">
        <v>442</v>
      </c>
      <c r="NW87" s="4"/>
      <c r="NX87" s="4"/>
      <c r="NY87" s="4"/>
      <c r="NZ87" s="4"/>
      <c r="OA87" s="4">
        <v>13406</v>
      </c>
      <c r="OB87" s="4">
        <v>13403</v>
      </c>
      <c r="OC87" s="4"/>
      <c r="OD87" s="4"/>
      <c r="OE87" s="77">
        <f t="shared" si="82"/>
        <v>-2.1859296482412062E-2</v>
      </c>
      <c r="OF87" s="8">
        <f t="shared" si="71"/>
        <v>27251</v>
      </c>
      <c r="OG87" s="2"/>
      <c r="OH87" s="7" t="s">
        <v>306</v>
      </c>
      <c r="OI87" s="1">
        <v>82</v>
      </c>
      <c r="OJ87" s="40"/>
      <c r="OK87" s="40"/>
      <c r="OL87" s="40"/>
      <c r="OM87" s="40"/>
      <c r="ON87" s="40"/>
      <c r="OO87" s="40"/>
      <c r="OP87" s="1">
        <v>30025</v>
      </c>
      <c r="OQ87" s="40"/>
      <c r="OR87" s="77">
        <f t="shared" si="83"/>
        <v>-1.1069504664301668E-2</v>
      </c>
      <c r="OS87" s="8">
        <f t="shared" si="49"/>
        <v>30107</v>
      </c>
      <c r="OT87" s="37"/>
      <c r="OU87" s="126">
        <f t="shared" si="65"/>
        <v>741109</v>
      </c>
      <c r="OV87" s="71">
        <f t="shared" si="73"/>
        <v>4.4142541260451794E-4</v>
      </c>
      <c r="OW87" s="139">
        <f>IF(A87="","",SUM(Z$17:Z87))</f>
        <v>20000</v>
      </c>
      <c r="OX87" s="139">
        <f t="shared" si="52"/>
        <v>758253</v>
      </c>
      <c r="OY87" s="132">
        <f t="shared" si="53"/>
        <v>6.259065092090825E-2</v>
      </c>
      <c r="OZ87" s="140">
        <f t="shared" si="66"/>
        <v>1118255</v>
      </c>
      <c r="PA87" s="84">
        <f t="shared" si="77"/>
        <v>1.4604984040400741E-2</v>
      </c>
      <c r="PB87" s="130">
        <f>IF(A87="","",SUM(HB$17:HB87)+SUM(KY$17:KY87))</f>
        <v>115756.47</v>
      </c>
      <c r="PC87" s="131">
        <f t="shared" si="54"/>
        <v>889189.47</v>
      </c>
      <c r="PD87" s="132">
        <f t="shared" si="55"/>
        <v>0.34619409526722084</v>
      </c>
      <c r="PE87" s="133">
        <f t="shared" si="67"/>
        <v>773433</v>
      </c>
      <c r="PF87" s="84">
        <f t="shared" si="69"/>
        <v>2.2841696411214012E-2</v>
      </c>
      <c r="PG87" s="133">
        <f t="shared" si="68"/>
        <v>1085931</v>
      </c>
      <c r="PH87" s="84">
        <f t="shared" si="70"/>
        <v>-7.802874365441364E-4</v>
      </c>
      <c r="PI87" s="135">
        <f t="shared" si="56"/>
        <v>1859364</v>
      </c>
      <c r="PJ87" s="136">
        <f t="shared" si="74"/>
        <v>8.9118473743041004E-3</v>
      </c>
      <c r="PK87" s="123">
        <f t="shared" si="72"/>
        <v>4.9464759223491667E-2</v>
      </c>
      <c r="PL87" s="137">
        <f t="shared" si="57"/>
        <v>135756.47</v>
      </c>
      <c r="PM87" s="9">
        <f t="shared" si="58"/>
        <v>1647442.47</v>
      </c>
      <c r="PN87" s="138">
        <f t="shared" si="59"/>
        <v>0.19891600381337737</v>
      </c>
      <c r="PO87" s="86">
        <f>IF(PI87="","",MAX(PI$15:PI87))</f>
        <v>1940884.25</v>
      </c>
      <c r="PP87" s="113">
        <f t="shared" si="75"/>
        <v>-4.3843082903616507E-2</v>
      </c>
      <c r="PQ87" s="41"/>
      <c r="PR87" s="302"/>
    </row>
    <row r="88" spans="1:434" s="1" customFormat="1" ht="15" customHeight="1" x14ac:dyDescent="0.45">
      <c r="A88" s="18">
        <v>44685</v>
      </c>
      <c r="B88" s="3" t="s">
        <v>306</v>
      </c>
      <c r="C88" s="4">
        <v>48450</v>
      </c>
      <c r="D88" s="10"/>
      <c r="E88" s="10"/>
      <c r="F88" s="10"/>
      <c r="G88" s="4"/>
      <c r="H88" s="4"/>
      <c r="I88" s="4">
        <v>21499</v>
      </c>
      <c r="J88" s="4">
        <v>15939</v>
      </c>
      <c r="K88" s="4">
        <v>18682</v>
      </c>
      <c r="L88" s="4">
        <v>19065</v>
      </c>
      <c r="M88" s="4">
        <v>23198</v>
      </c>
      <c r="N88" s="4"/>
      <c r="O88" s="10"/>
      <c r="P88" s="4">
        <v>73584</v>
      </c>
      <c r="Q88" s="4"/>
      <c r="R88" s="4"/>
      <c r="S88" s="4"/>
      <c r="T88" s="4"/>
      <c r="U88" s="10"/>
      <c r="V88" s="10"/>
      <c r="W88" s="10"/>
      <c r="X88" s="4"/>
      <c r="Y88" s="18" t="str">
        <f t="shared" si="64"/>
        <v/>
      </c>
      <c r="Z88" s="4"/>
      <c r="AA88" s="77">
        <f t="shared" si="78"/>
        <v>-2.8798914312655043E-2</v>
      </c>
      <c r="AB88" s="8">
        <f t="shared" si="60"/>
        <v>220417</v>
      </c>
      <c r="AC88" s="2"/>
      <c r="AD88" s="3" t="s">
        <v>306</v>
      </c>
      <c r="AE88" s="4">
        <v>37447</v>
      </c>
      <c r="AF88" s="4">
        <v>135630</v>
      </c>
      <c r="AG88" s="4"/>
      <c r="AH88" s="4"/>
      <c r="AI88" s="1">
        <v>9853</v>
      </c>
      <c r="AJ88" s="4"/>
      <c r="AK88" s="4"/>
      <c r="AL88" s="4">
        <v>26710</v>
      </c>
      <c r="AM88" s="4"/>
      <c r="AN88" s="1">
        <v>6120</v>
      </c>
      <c r="AO88" s="4"/>
      <c r="AP88" s="10"/>
      <c r="AQ88" s="4"/>
      <c r="AR88" s="4"/>
      <c r="AS88" s="4"/>
      <c r="AT88" s="4">
        <v>50428</v>
      </c>
      <c r="AU88" s="4"/>
      <c r="AW88" s="4"/>
      <c r="AX88" s="4"/>
      <c r="AY88" s="4"/>
      <c r="AZ88" s="4"/>
      <c r="BA88" s="4"/>
      <c r="BB88" s="4"/>
      <c r="BC88" s="4"/>
      <c r="BD88" s="4"/>
      <c r="BE88" s="4">
        <v>19562</v>
      </c>
      <c r="BF88" s="4"/>
      <c r="BG88" s="1">
        <v>5913</v>
      </c>
      <c r="BH88" s="4"/>
      <c r="BI88" s="4"/>
      <c r="BJ88" s="4">
        <v>18919</v>
      </c>
      <c r="BK88" s="4"/>
      <c r="BL88" s="4"/>
      <c r="BM88" s="4"/>
      <c r="BN88" s="4"/>
      <c r="BO88" s="4"/>
      <c r="BP88" s="4"/>
      <c r="BQ88" s="4"/>
      <c r="BR88" s="1">
        <v>10080</v>
      </c>
      <c r="BS88" s="10"/>
      <c r="BT88" s="4"/>
      <c r="BU88" s="4"/>
      <c r="BV88" s="4"/>
      <c r="BW88" s="4"/>
      <c r="BX88" s="1">
        <v>4849</v>
      </c>
      <c r="BY88" s="1">
        <v>10228</v>
      </c>
      <c r="CA88" s="4"/>
      <c r="CB88" s="4"/>
      <c r="CC88" s="4"/>
      <c r="CD88" s="4"/>
      <c r="CE88" s="4"/>
      <c r="CF88" s="4">
        <v>50239</v>
      </c>
      <c r="CG88" s="4"/>
      <c r="CH88" s="4">
        <v>30457</v>
      </c>
      <c r="CI88" s="4"/>
      <c r="CJ88" s="10"/>
      <c r="CK88" s="4"/>
      <c r="CL88" s="10"/>
      <c r="CM88" s="1">
        <v>10294</v>
      </c>
      <c r="CN88" s="4"/>
      <c r="CO88" s="10"/>
      <c r="CP88" s="4"/>
      <c r="CQ88" s="4">
        <v>15581</v>
      </c>
      <c r="CR88" s="10"/>
      <c r="CS88" s="4"/>
      <c r="CT88" s="4"/>
      <c r="CU88" s="4">
        <v>6134</v>
      </c>
      <c r="CV88" s="4">
        <v>24350</v>
      </c>
      <c r="CW88" s="4"/>
      <c r="CX88" s="4"/>
      <c r="CY88" s="77">
        <f t="shared" si="76"/>
        <v>-2.3251778229063588E-2</v>
      </c>
      <c r="CZ88" s="8">
        <f t="shared" si="61"/>
        <v>472794</v>
      </c>
      <c r="DA88" s="2"/>
      <c r="DD88" s="1">
        <v>16998</v>
      </c>
      <c r="DF88" s="1">
        <v>9923</v>
      </c>
      <c r="DH88" s="4"/>
      <c r="DJ88" s="4"/>
      <c r="DL88" s="1">
        <v>15059</v>
      </c>
      <c r="DM88" s="1">
        <v>22109</v>
      </c>
      <c r="DN88" s="1">
        <v>14802</v>
      </c>
      <c r="DP88" s="1">
        <v>23306</v>
      </c>
      <c r="DQ88" s="1">
        <v>15525</v>
      </c>
      <c r="DR88" s="1">
        <v>16402</v>
      </c>
      <c r="DS88" s="1">
        <v>12806</v>
      </c>
      <c r="DU88" s="1">
        <v>13486</v>
      </c>
      <c r="DX88" s="2"/>
      <c r="DY88" s="32"/>
      <c r="DZ88" s="4">
        <v>456</v>
      </c>
      <c r="EA88" s="32"/>
      <c r="EB88" s="32"/>
      <c r="EC88" s="32"/>
      <c r="ED88" s="32"/>
      <c r="EE88" s="4">
        <v>12850</v>
      </c>
      <c r="EF88" s="4">
        <v>13276</v>
      </c>
      <c r="EG88" s="32"/>
      <c r="EH88" s="32"/>
      <c r="EI88" s="32"/>
      <c r="EJ88" s="32"/>
      <c r="EK88" s="5"/>
      <c r="EO88" s="2"/>
      <c r="EQ88" s="468" t="s">
        <v>1</v>
      </c>
      <c r="ER88"/>
      <c r="ES88" s="6"/>
      <c r="ET88" s="10"/>
      <c r="EU88" s="10"/>
      <c r="EV88" s="10"/>
      <c r="EW88" s="10"/>
      <c r="EX88" s="4">
        <v>2043</v>
      </c>
      <c r="EY88" s="4"/>
      <c r="EZ88" s="4"/>
      <c r="FA88" s="4"/>
      <c r="FB88" s="4"/>
      <c r="FC88" s="4">
        <v>12593</v>
      </c>
      <c r="FD88" s="4"/>
      <c r="FE88" s="4"/>
      <c r="FF88" s="4"/>
      <c r="FG88" s="4"/>
      <c r="FH88" s="10"/>
      <c r="FI88" s="10"/>
      <c r="FJ88" s="10"/>
      <c r="FK88" s="10"/>
      <c r="FL88" s="10"/>
      <c r="FM88" s="10"/>
      <c r="FN88" s="4">
        <v>11619</v>
      </c>
      <c r="FO88" s="4"/>
      <c r="FP88" s="10"/>
      <c r="FQ88" s="4"/>
      <c r="FR88" s="4"/>
      <c r="FS88" s="10"/>
      <c r="FT88" s="4">
        <v>21499</v>
      </c>
      <c r="FU88" s="4">
        <v>15939</v>
      </c>
      <c r="FV88" s="4">
        <v>19522</v>
      </c>
      <c r="FW88" s="4">
        <v>18682</v>
      </c>
      <c r="FX88" s="4">
        <v>6800</v>
      </c>
      <c r="FY88" s="4">
        <v>19065</v>
      </c>
      <c r="FZ88" s="10"/>
      <c r="GA88" s="10"/>
      <c r="GB88" s="10"/>
      <c r="GC88" s="10"/>
      <c r="GD88" s="4">
        <v>23198</v>
      </c>
      <c r="GE88" s="4">
        <v>19200</v>
      </c>
      <c r="GF88" s="4"/>
      <c r="GG88" s="4"/>
      <c r="GH88" s="4"/>
      <c r="GI88" s="4"/>
      <c r="GJ88" s="4">
        <v>22626</v>
      </c>
      <c r="GK88" s="4"/>
      <c r="GL88" s="4"/>
      <c r="GM88" s="4"/>
      <c r="GN88" s="10"/>
      <c r="GO88" s="10"/>
      <c r="GP88" s="4"/>
      <c r="GQ88" s="10"/>
      <c r="GR88" s="4">
        <v>21338</v>
      </c>
      <c r="GS88" s="10"/>
      <c r="GT88" s="4"/>
      <c r="GU88" s="10"/>
      <c r="GV88" s="4"/>
      <c r="GW88" s="10"/>
      <c r="GX88" s="10"/>
      <c r="GY88" s="10"/>
      <c r="GZ88" s="10"/>
      <c r="HA88" s="18"/>
      <c r="HB88" s="4"/>
      <c r="HC88" s="77">
        <f t="shared" si="79"/>
        <v>-6.4012449293607498E-2</v>
      </c>
      <c r="HD88" s="8">
        <f t="shared" si="51"/>
        <v>214124</v>
      </c>
      <c r="HE88" s="2"/>
      <c r="HF88" s="3"/>
      <c r="HG88" s="4">
        <v>11636</v>
      </c>
      <c r="HH88" s="4"/>
      <c r="HI88" s="4">
        <v>22739</v>
      </c>
      <c r="HJ88" s="4"/>
      <c r="HK88" s="4"/>
      <c r="HL88" s="4"/>
      <c r="HM88" s="4"/>
      <c r="HN88" s="4">
        <v>26710</v>
      </c>
      <c r="HO88" s="4">
        <v>23172</v>
      </c>
      <c r="HP88" s="4"/>
      <c r="HQ88" s="4">
        <v>23538</v>
      </c>
      <c r="HR88" s="4"/>
      <c r="HS88" s="4"/>
      <c r="HT88" s="10"/>
      <c r="HU88" s="10"/>
      <c r="HV88" s="4"/>
      <c r="HW88" s="4"/>
      <c r="HX88" s="4"/>
      <c r="HY88" s="4"/>
      <c r="HZ88" s="4">
        <v>22179</v>
      </c>
      <c r="IA88" s="4">
        <v>18981</v>
      </c>
      <c r="IB88" s="4"/>
      <c r="IC88" s="4">
        <v>18770</v>
      </c>
      <c r="ID88" s="10"/>
      <c r="IE88" s="4">
        <v>21651</v>
      </c>
      <c r="IF88" s="10"/>
      <c r="IG88" s="4"/>
      <c r="IH88" s="4">
        <v>22341</v>
      </c>
      <c r="II88" s="4"/>
      <c r="IJ88" s="4"/>
      <c r="IK88" s="4"/>
      <c r="IL88" s="4"/>
      <c r="IM88" s="4">
        <v>19562</v>
      </c>
      <c r="IN88" s="4"/>
      <c r="IO88" s="4"/>
      <c r="IP88" s="4">
        <v>18919</v>
      </c>
      <c r="IQ88" s="4"/>
      <c r="IR88" s="4"/>
      <c r="IS88" s="4"/>
      <c r="IT88" s="10"/>
      <c r="IU88" s="4"/>
      <c r="IV88" s="4"/>
      <c r="IW88" s="4">
        <v>21624</v>
      </c>
      <c r="IX88" s="10"/>
      <c r="IY88" s="4"/>
      <c r="IZ88" s="4">
        <v>24386</v>
      </c>
      <c r="JA88" s="4"/>
      <c r="JB88" s="4"/>
      <c r="JC88" s="4"/>
      <c r="JD88" s="4"/>
      <c r="JE88" s="4"/>
      <c r="JF88" s="10"/>
      <c r="JG88" s="10"/>
      <c r="JH88" s="10"/>
      <c r="JI88" s="4"/>
      <c r="JJ88" s="4"/>
      <c r="JK88" s="4">
        <v>21562</v>
      </c>
      <c r="JL88" s="4"/>
      <c r="JM88" s="4"/>
      <c r="JN88" s="10"/>
      <c r="JO88" s="10"/>
      <c r="JP88" s="4"/>
      <c r="JQ88" s="4"/>
      <c r="JR88" s="4"/>
      <c r="JS88" s="4">
        <v>15890</v>
      </c>
      <c r="JT88" s="4">
        <v>22451</v>
      </c>
      <c r="JU88" s="10"/>
      <c r="JV88" s="4"/>
      <c r="JW88" s="4"/>
      <c r="JX88" s="4">
        <v>30457</v>
      </c>
      <c r="JY88" s="4"/>
      <c r="JZ88" s="4">
        <v>16542</v>
      </c>
      <c r="KA88" s="4"/>
      <c r="KB88" s="4"/>
      <c r="KC88" s="4">
        <v>18234</v>
      </c>
      <c r="KD88" s="10"/>
      <c r="KE88" s="10"/>
      <c r="KF88" s="10"/>
      <c r="KG88" s="4"/>
      <c r="KH88" s="10"/>
      <c r="KI88" s="10"/>
      <c r="KJ88" s="10"/>
      <c r="KK88" s="10"/>
      <c r="KL88" s="4">
        <v>15581</v>
      </c>
      <c r="KM88" s="10"/>
      <c r="KN88" s="4"/>
      <c r="KO88" s="4">
        <v>21767</v>
      </c>
      <c r="KP88" s="4">
        <v>6134</v>
      </c>
      <c r="KQ88" s="4">
        <v>24350</v>
      </c>
      <c r="KR88" s="10"/>
      <c r="KS88" s="4">
        <v>22525</v>
      </c>
      <c r="KT88" s="4">
        <v>18340</v>
      </c>
      <c r="KU88" s="4"/>
      <c r="KV88" s="4"/>
      <c r="KW88" s="4"/>
      <c r="KX88" s="18"/>
      <c r="KY88" s="4"/>
      <c r="KZ88" s="77">
        <f t="shared" si="80"/>
        <v>-2.6849531363315065E-2</v>
      </c>
      <c r="LA88" s="8">
        <f t="shared" si="62"/>
        <v>530041</v>
      </c>
      <c r="LB88" s="2"/>
      <c r="LC88" s="43"/>
      <c r="LD88" s="1">
        <v>3607</v>
      </c>
      <c r="LF88" s="1">
        <v>9853</v>
      </c>
      <c r="LG88" s="1">
        <v>16998</v>
      </c>
      <c r="LI88" s="1">
        <v>6120</v>
      </c>
      <c r="LM88" s="1">
        <v>9923</v>
      </c>
      <c r="LQ88" s="1">
        <v>7647</v>
      </c>
      <c r="LU88" s="1">
        <v>6865</v>
      </c>
      <c r="LY88" s="1">
        <v>5913</v>
      </c>
      <c r="MD88" s="1">
        <v>15059</v>
      </c>
      <c r="ME88" s="1">
        <v>10080</v>
      </c>
      <c r="MI88" s="1">
        <v>22109</v>
      </c>
      <c r="ML88" s="1">
        <v>7040</v>
      </c>
      <c r="MM88" s="1">
        <v>4849</v>
      </c>
      <c r="MN88" s="1">
        <v>10228</v>
      </c>
      <c r="MO88" s="172">
        <v>7039</v>
      </c>
      <c r="MT88" s="1">
        <v>14802</v>
      </c>
      <c r="MV88" s="1">
        <v>23306</v>
      </c>
      <c r="MW88" s="1">
        <v>8608</v>
      </c>
      <c r="MX88" s="1">
        <v>15525</v>
      </c>
      <c r="NC88" s="1">
        <v>16402</v>
      </c>
      <c r="ND88" s="1">
        <v>12806</v>
      </c>
      <c r="NF88" s="1">
        <v>13486</v>
      </c>
      <c r="NG88" s="1">
        <v>10294</v>
      </c>
      <c r="NH88" s="1">
        <v>5713</v>
      </c>
      <c r="NI88" s="1">
        <v>14793</v>
      </c>
      <c r="NK88" s="1">
        <v>8707</v>
      </c>
      <c r="NL88" s="1">
        <v>6601</v>
      </c>
      <c r="NM88" s="1">
        <v>6134</v>
      </c>
      <c r="NN88" s="1">
        <v>9740</v>
      </c>
      <c r="NO88" s="77"/>
      <c r="NP88" s="63"/>
      <c r="NQ88"/>
      <c r="NR88" s="77">
        <f t="shared" si="81"/>
        <v>-2.3062559238721421E-2</v>
      </c>
      <c r="NS88" s="8">
        <f t="shared" si="84"/>
        <v>310247</v>
      </c>
      <c r="NT88" s="2"/>
      <c r="NU88" s="7"/>
      <c r="NV88" s="4">
        <v>456</v>
      </c>
      <c r="NW88" s="4"/>
      <c r="NX88" s="4"/>
      <c r="NY88" s="4"/>
      <c r="NZ88" s="4"/>
      <c r="OA88" s="4">
        <v>12850</v>
      </c>
      <c r="OB88" s="4">
        <v>13276</v>
      </c>
      <c r="OC88" s="4"/>
      <c r="OD88" s="4"/>
      <c r="OE88" s="77">
        <f t="shared" si="82"/>
        <v>-2.4549557814392133E-2</v>
      </c>
      <c r="OF88" s="8">
        <f t="shared" si="71"/>
        <v>26582</v>
      </c>
      <c r="OG88" s="2"/>
      <c r="OI88" s="1">
        <v>82</v>
      </c>
      <c r="OJ88" s="40"/>
      <c r="OK88" s="40"/>
      <c r="OL88" s="40"/>
      <c r="OM88" s="40"/>
      <c r="ON88" s="40"/>
      <c r="OO88" s="40"/>
      <c r="OP88" s="1">
        <v>29827</v>
      </c>
      <c r="OQ88" s="40"/>
      <c r="OR88" s="77">
        <f t="shared" si="83"/>
        <v>-6.5765436609426381E-3</v>
      </c>
      <c r="OS88" s="8">
        <f t="shared" si="49"/>
        <v>29909</v>
      </c>
      <c r="OT88" s="37"/>
      <c r="OU88" s="126">
        <f t="shared" si="65"/>
        <v>723120</v>
      </c>
      <c r="OV88" s="71">
        <f t="shared" si="73"/>
        <v>-2.4273082636967033E-2</v>
      </c>
      <c r="OW88" s="139">
        <f>IF(A88="","",SUM(Z$17:Z88))</f>
        <v>20000</v>
      </c>
      <c r="OX88" s="139">
        <f t="shared" si="52"/>
        <v>739793</v>
      </c>
      <c r="OY88" s="132">
        <f t="shared" si="53"/>
        <v>3.6721418071186639E-2</v>
      </c>
      <c r="OZ88" s="140">
        <f t="shared" si="66"/>
        <v>1080994</v>
      </c>
      <c r="PA88" s="84">
        <f t="shared" si="77"/>
        <v>-3.3320664785759957E-2</v>
      </c>
      <c r="PB88" s="130">
        <f>IF(A88="","",SUM(HB$17:HB88)+SUM(KY$17:KY88))</f>
        <v>115756.47</v>
      </c>
      <c r="PC88" s="131">
        <f t="shared" si="54"/>
        <v>859921.47</v>
      </c>
      <c r="PD88" s="132">
        <f t="shared" si="55"/>
        <v>0.30188361914307033</v>
      </c>
      <c r="PE88" s="133">
        <f t="shared" si="67"/>
        <v>744165</v>
      </c>
      <c r="PF88" s="84">
        <f t="shared" si="69"/>
        <v>-3.7841674715198344E-2</v>
      </c>
      <c r="PG88" s="133">
        <f t="shared" si="68"/>
        <v>1059949</v>
      </c>
      <c r="PH88" s="84">
        <f t="shared" si="70"/>
        <v>-2.3926013715420226E-2</v>
      </c>
      <c r="PI88" s="135">
        <f t="shared" si="56"/>
        <v>1804114</v>
      </c>
      <c r="PJ88" s="136">
        <f t="shared" si="74"/>
        <v>-2.9714461504041167E-2</v>
      </c>
      <c r="PK88" s="123">
        <f t="shared" si="72"/>
        <v>-1.2726879179899614E-3</v>
      </c>
      <c r="PL88" s="137">
        <f t="shared" si="57"/>
        <v>135756.47</v>
      </c>
      <c r="PM88" s="9">
        <f t="shared" si="58"/>
        <v>1599714.47</v>
      </c>
      <c r="PN88" s="138">
        <f t="shared" si="59"/>
        <v>0.16418224887381649</v>
      </c>
      <c r="PO88" s="86">
        <f>IF(PI88="","",MAX(PI$15:PI88))</f>
        <v>1940884.25</v>
      </c>
      <c r="PP88" s="113">
        <f t="shared" si="75"/>
        <v>-7.581020378978269E-2</v>
      </c>
      <c r="PQ88" s="41"/>
      <c r="PR88" s="302"/>
    </row>
    <row r="89" spans="1:434" s="1" customFormat="1" ht="15" customHeight="1" x14ac:dyDescent="0.45">
      <c r="A89" s="18">
        <v>44714</v>
      </c>
      <c r="B89" s="3"/>
      <c r="C89" s="4">
        <v>23459</v>
      </c>
      <c r="D89" s="10"/>
      <c r="E89" s="10"/>
      <c r="F89" s="10"/>
      <c r="G89" s="4"/>
      <c r="H89" s="4"/>
      <c r="I89" s="4">
        <v>21317</v>
      </c>
      <c r="J89" s="4"/>
      <c r="K89" s="4">
        <v>18236</v>
      </c>
      <c r="L89" s="4">
        <v>19374</v>
      </c>
      <c r="M89" s="4">
        <v>21216</v>
      </c>
      <c r="N89" s="4"/>
      <c r="O89" s="10"/>
      <c r="P89" s="4">
        <v>72677</v>
      </c>
      <c r="Q89" s="4"/>
      <c r="R89" s="4"/>
      <c r="S89" s="4"/>
      <c r="T89" s="4"/>
      <c r="U89" s="10"/>
      <c r="V89" s="10"/>
      <c r="W89" s="10"/>
      <c r="X89" s="4"/>
      <c r="Y89" s="18" t="str">
        <f t="shared" si="64"/>
        <v/>
      </c>
      <c r="Z89" s="4"/>
      <c r="AA89" s="77">
        <f>IF($A89="","",(AB89-AB88)/AB88)</f>
        <v>-0.20024771229079427</v>
      </c>
      <c r="AB89" s="8">
        <f t="shared" si="60"/>
        <v>176279</v>
      </c>
      <c r="AC89" s="2"/>
      <c r="AD89" s="3"/>
      <c r="AE89" s="4">
        <v>63012</v>
      </c>
      <c r="AF89" s="4">
        <v>110959</v>
      </c>
      <c r="AG89" s="4"/>
      <c r="AH89" s="4"/>
      <c r="AI89" s="1">
        <v>9346</v>
      </c>
      <c r="AJ89" s="4"/>
      <c r="AK89" s="4"/>
      <c r="AL89" s="4">
        <v>26307</v>
      </c>
      <c r="AM89" s="4"/>
      <c r="AN89" s="1">
        <v>6255</v>
      </c>
      <c r="AO89" s="4"/>
      <c r="AP89" s="10"/>
      <c r="AQ89" s="4"/>
      <c r="AR89" s="4"/>
      <c r="AS89" s="4"/>
      <c r="AT89" s="4">
        <v>45321</v>
      </c>
      <c r="AU89" s="4"/>
      <c r="AW89" s="4"/>
      <c r="AX89" s="4"/>
      <c r="AY89" s="4"/>
      <c r="AZ89" s="4"/>
      <c r="BA89" s="4"/>
      <c r="BB89" s="4"/>
      <c r="BC89" s="4"/>
      <c r="BD89" s="4"/>
      <c r="BE89" s="4">
        <v>18251</v>
      </c>
      <c r="BF89" s="4"/>
      <c r="BG89" s="1">
        <v>5693</v>
      </c>
      <c r="BH89" s="4"/>
      <c r="BI89" s="4"/>
      <c r="BJ89" s="4">
        <v>17825</v>
      </c>
      <c r="BK89" s="4"/>
      <c r="BL89" s="4"/>
      <c r="BM89" s="4"/>
      <c r="BN89" s="4"/>
      <c r="BO89" s="4"/>
      <c r="BP89" s="4"/>
      <c r="BQ89" s="4"/>
      <c r="BR89" s="1">
        <v>9674</v>
      </c>
      <c r="BS89" s="10"/>
      <c r="BT89" s="4"/>
      <c r="BU89" s="4"/>
      <c r="BV89" s="4"/>
      <c r="BW89" s="4"/>
      <c r="BX89" s="1">
        <v>4717</v>
      </c>
      <c r="BY89" s="1">
        <v>9307</v>
      </c>
      <c r="CA89" s="4"/>
      <c r="CB89" s="4"/>
      <c r="CC89" s="4"/>
      <c r="CD89" s="4"/>
      <c r="CE89" s="4"/>
      <c r="CF89" s="4">
        <v>43705</v>
      </c>
      <c r="CG89" s="4"/>
      <c r="CH89" s="4">
        <v>29031</v>
      </c>
      <c r="CI89" s="4"/>
      <c r="CJ89" s="10"/>
      <c r="CK89" s="4"/>
      <c r="CL89" s="10"/>
      <c r="CM89" s="1">
        <v>10213</v>
      </c>
      <c r="CN89" s="4"/>
      <c r="CO89" s="10"/>
      <c r="CP89" s="4"/>
      <c r="CQ89" s="4">
        <v>14597</v>
      </c>
      <c r="CR89" s="10"/>
      <c r="CS89" s="4"/>
      <c r="CT89" s="4"/>
      <c r="CU89" s="4">
        <v>6245</v>
      </c>
      <c r="CV89" s="4">
        <v>23478</v>
      </c>
      <c r="CW89" s="4"/>
      <c r="CX89" s="4"/>
      <c r="CY89" s="77">
        <f t="shared" si="76"/>
        <v>-3.988629297326108E-2</v>
      </c>
      <c r="CZ89" s="8">
        <f t="shared" si="61"/>
        <v>453936</v>
      </c>
      <c r="DA89" s="2"/>
      <c r="DD89" s="1">
        <v>16962</v>
      </c>
      <c r="DF89" s="1">
        <v>9895</v>
      </c>
      <c r="DH89" s="4"/>
      <c r="DJ89" s="4"/>
      <c r="DL89" s="1">
        <v>15040</v>
      </c>
      <c r="DM89" s="1">
        <v>22179</v>
      </c>
      <c r="DN89" s="1">
        <v>14823</v>
      </c>
      <c r="DP89" s="1">
        <v>23288</v>
      </c>
      <c r="DQ89" s="1">
        <v>15422</v>
      </c>
      <c r="DR89" s="1">
        <v>16354</v>
      </c>
      <c r="DS89" s="1">
        <v>12617</v>
      </c>
      <c r="DU89" s="1">
        <v>13472</v>
      </c>
      <c r="DX89" s="2"/>
      <c r="DY89" s="32"/>
      <c r="DZ89" s="4">
        <v>504</v>
      </c>
      <c r="EA89" s="32"/>
      <c r="EB89" s="32"/>
      <c r="EC89" s="32"/>
      <c r="ED89" s="32"/>
      <c r="EE89" s="4">
        <v>12801</v>
      </c>
      <c r="EF89" s="4">
        <v>13264</v>
      </c>
      <c r="EG89" s="32"/>
      <c r="EH89" s="32"/>
      <c r="EI89" s="32"/>
      <c r="EJ89" s="32"/>
      <c r="EK89" s="5"/>
      <c r="EO89" s="2"/>
      <c r="EQ89" s="468" t="s">
        <v>1</v>
      </c>
      <c r="ER89"/>
      <c r="ES89" s="6"/>
      <c r="ET89" s="10"/>
      <c r="EU89" s="10"/>
      <c r="EV89" s="10"/>
      <c r="EW89" s="10"/>
      <c r="EX89" s="4">
        <v>2865</v>
      </c>
      <c r="EY89" s="4"/>
      <c r="EZ89" s="4"/>
      <c r="FA89" s="4"/>
      <c r="FB89" s="4"/>
      <c r="FC89" s="4">
        <v>12115</v>
      </c>
      <c r="FD89" s="4"/>
      <c r="FE89" s="4"/>
      <c r="FF89" s="4"/>
      <c r="FG89" s="4"/>
      <c r="FH89" s="10"/>
      <c r="FI89" s="10"/>
      <c r="FJ89" s="10"/>
      <c r="FK89" s="10"/>
      <c r="FL89" s="10"/>
      <c r="FM89" s="10"/>
      <c r="FN89" s="4">
        <v>10831</v>
      </c>
      <c r="FO89" s="4"/>
      <c r="FP89" s="10"/>
      <c r="FQ89" s="4"/>
      <c r="FR89" s="4"/>
      <c r="FS89" s="10"/>
      <c r="FT89" s="4">
        <v>21317</v>
      </c>
      <c r="FU89" s="4"/>
      <c r="FV89" s="4">
        <v>18754</v>
      </c>
      <c r="FW89" s="4">
        <v>18236</v>
      </c>
      <c r="FX89" s="4">
        <v>6729</v>
      </c>
      <c r="FY89" s="4">
        <v>19374</v>
      </c>
      <c r="FZ89" s="10"/>
      <c r="GA89" s="10"/>
      <c r="GB89" s="10"/>
      <c r="GC89" s="10"/>
      <c r="GD89" s="4">
        <v>21216</v>
      </c>
      <c r="GE89" s="4">
        <v>17924</v>
      </c>
      <c r="GF89" s="4"/>
      <c r="GG89" s="4"/>
      <c r="GH89" s="4"/>
      <c r="GI89" s="4"/>
      <c r="GJ89" s="4">
        <v>23353</v>
      </c>
      <c r="GK89" s="4"/>
      <c r="GL89" s="4"/>
      <c r="GM89" s="4"/>
      <c r="GN89" s="10"/>
      <c r="GO89" s="10"/>
      <c r="GP89" s="4"/>
      <c r="GQ89" s="10"/>
      <c r="GR89" s="4">
        <v>19904</v>
      </c>
      <c r="GS89" s="10"/>
      <c r="GT89" s="4"/>
      <c r="GU89" s="10"/>
      <c r="GV89" s="4"/>
      <c r="GW89" s="10">
        <v>15243</v>
      </c>
      <c r="GX89" s="10"/>
      <c r="GY89" s="10"/>
      <c r="GZ89" s="10"/>
      <c r="HA89" s="18"/>
      <c r="HB89" s="4"/>
      <c r="HC89" s="77">
        <f t="shared" si="79"/>
        <v>-2.9249406885729762E-2</v>
      </c>
      <c r="HD89" s="8">
        <f t="shared" si="51"/>
        <v>207861</v>
      </c>
      <c r="HE89" s="2"/>
      <c r="HF89" s="3"/>
      <c r="HG89" s="4">
        <v>12216</v>
      </c>
      <c r="HH89" s="4"/>
      <c r="HI89" s="4">
        <v>21573</v>
      </c>
      <c r="HJ89" s="4"/>
      <c r="HK89" s="4"/>
      <c r="HL89" s="4"/>
      <c r="HM89" s="4"/>
      <c r="HN89" s="4">
        <v>26307</v>
      </c>
      <c r="HO89" s="4">
        <v>21681</v>
      </c>
      <c r="HP89" s="4"/>
      <c r="HQ89" s="4">
        <v>22593</v>
      </c>
      <c r="HR89" s="4"/>
      <c r="HS89" s="4"/>
      <c r="HT89" s="10"/>
      <c r="HU89" s="10"/>
      <c r="HV89" s="4"/>
      <c r="HW89" s="4"/>
      <c r="HX89" s="4"/>
      <c r="HY89" s="4"/>
      <c r="HZ89" s="4">
        <v>19373</v>
      </c>
      <c r="IA89" s="4">
        <v>16530</v>
      </c>
      <c r="IB89" s="4"/>
      <c r="IC89" s="4">
        <v>18473</v>
      </c>
      <c r="ID89" s="10"/>
      <c r="IE89" s="4">
        <v>24126</v>
      </c>
      <c r="IF89" s="10"/>
      <c r="IG89" s="4"/>
      <c r="IH89" s="4">
        <v>19041</v>
      </c>
      <c r="II89" s="4"/>
      <c r="IJ89" s="4"/>
      <c r="IK89" s="4"/>
      <c r="IL89" s="4"/>
      <c r="IM89" s="4">
        <v>18251</v>
      </c>
      <c r="IN89" s="4"/>
      <c r="IO89" s="4"/>
      <c r="IP89" s="4">
        <v>17825</v>
      </c>
      <c r="IQ89" s="4"/>
      <c r="IR89" s="4"/>
      <c r="IS89" s="4"/>
      <c r="IT89" s="10"/>
      <c r="IU89" s="4"/>
      <c r="IV89" s="4"/>
      <c r="IW89" s="4">
        <v>20959</v>
      </c>
      <c r="IX89" s="10"/>
      <c r="IY89" s="4"/>
      <c r="IZ89" s="4">
        <v>23398</v>
      </c>
      <c r="JA89" s="4"/>
      <c r="JB89" s="4"/>
      <c r="JC89" s="4"/>
      <c r="JD89" s="4"/>
      <c r="JE89" s="4"/>
      <c r="JF89" s="10"/>
      <c r="JG89" s="10"/>
      <c r="JH89" s="10"/>
      <c r="JI89" s="4"/>
      <c r="JJ89" s="4"/>
      <c r="JK89" s="4">
        <v>20245</v>
      </c>
      <c r="JL89" s="4"/>
      <c r="JM89" s="4"/>
      <c r="JN89" s="10"/>
      <c r="JO89" s="10"/>
      <c r="JP89" s="4"/>
      <c r="JQ89" s="4"/>
      <c r="JR89" s="4"/>
      <c r="JS89" s="4">
        <v>16198</v>
      </c>
      <c r="JT89" s="4">
        <v>20906</v>
      </c>
      <c r="JU89" s="10"/>
      <c r="JV89" s="4"/>
      <c r="JW89" s="4"/>
      <c r="JX89" s="4">
        <v>29031</v>
      </c>
      <c r="JY89" s="4"/>
      <c r="JZ89" s="4">
        <v>16248</v>
      </c>
      <c r="KA89" s="4"/>
      <c r="KB89" s="4"/>
      <c r="KC89" s="4">
        <v>18009</v>
      </c>
      <c r="KD89" s="10"/>
      <c r="KE89" s="10"/>
      <c r="KF89" s="10"/>
      <c r="KG89" s="4"/>
      <c r="KH89" s="10"/>
      <c r="KI89" s="10"/>
      <c r="KJ89" s="10"/>
      <c r="KK89" s="10"/>
      <c r="KL89" s="4">
        <v>14597</v>
      </c>
      <c r="KM89" s="10"/>
      <c r="KN89" s="4"/>
      <c r="KO89" s="4">
        <v>22686</v>
      </c>
      <c r="KP89" s="4">
        <v>6245</v>
      </c>
      <c r="KQ89" s="4">
        <v>23478</v>
      </c>
      <c r="KR89" s="10"/>
      <c r="KS89" s="4">
        <v>21681</v>
      </c>
      <c r="KT89" s="4">
        <v>19418</v>
      </c>
      <c r="KU89" s="4"/>
      <c r="KV89" s="4"/>
      <c r="KW89" s="4"/>
      <c r="KX89" s="18"/>
      <c r="KY89" s="4"/>
      <c r="KZ89" s="77">
        <f t="shared" si="80"/>
        <v>-3.5757611203661603E-2</v>
      </c>
      <c r="LA89" s="8">
        <f t="shared" si="62"/>
        <v>511088</v>
      </c>
      <c r="LB89" s="2"/>
      <c r="LC89" s="43"/>
      <c r="LD89" s="1">
        <v>4386</v>
      </c>
      <c r="LF89" s="1">
        <v>9346</v>
      </c>
      <c r="LG89" s="1">
        <v>16962</v>
      </c>
      <c r="LI89" s="1">
        <v>6255</v>
      </c>
      <c r="LM89" s="1">
        <v>9895</v>
      </c>
      <c r="LQ89" s="1">
        <v>7530</v>
      </c>
      <c r="LU89" s="1">
        <v>6834</v>
      </c>
      <c r="LY89" s="1">
        <v>5693</v>
      </c>
      <c r="MD89" s="1">
        <v>15040</v>
      </c>
      <c r="ME89" s="1">
        <v>9674</v>
      </c>
      <c r="MI89" s="1">
        <v>22179</v>
      </c>
      <c r="ML89" s="1">
        <v>6569</v>
      </c>
      <c r="MM89" s="1">
        <v>4717</v>
      </c>
      <c r="MN89" s="1">
        <v>9307</v>
      </c>
      <c r="MO89" s="172">
        <v>7273</v>
      </c>
      <c r="MT89" s="1">
        <v>14823</v>
      </c>
      <c r="MV89" s="1">
        <v>23288</v>
      </c>
      <c r="MW89" s="1">
        <v>8520</v>
      </c>
      <c r="MX89" s="1">
        <v>15422</v>
      </c>
      <c r="NC89" s="1">
        <v>16354</v>
      </c>
      <c r="ND89" s="1">
        <v>12617</v>
      </c>
      <c r="NF89" s="1">
        <v>13472</v>
      </c>
      <c r="NG89" s="1">
        <v>10213</v>
      </c>
      <c r="NH89" s="1">
        <v>5364</v>
      </c>
      <c r="NI89" s="1">
        <v>14805</v>
      </c>
      <c r="NK89" s="1">
        <v>9104</v>
      </c>
      <c r="NL89" s="1">
        <v>6715</v>
      </c>
      <c r="NM89" s="1">
        <v>6245</v>
      </c>
      <c r="NN89" s="1">
        <v>9400</v>
      </c>
      <c r="NO89" s="77"/>
      <c r="NP89" s="63"/>
      <c r="NQ89"/>
      <c r="NR89" s="77">
        <f t="shared" si="81"/>
        <v>-7.2361698904421312E-3</v>
      </c>
      <c r="NS89" s="8">
        <f t="shared" si="84"/>
        <v>308002</v>
      </c>
      <c r="NT89" s="2"/>
      <c r="NU89" s="7"/>
      <c r="NV89" s="4">
        <v>504</v>
      </c>
      <c r="NW89" s="4"/>
      <c r="NX89" s="4"/>
      <c r="NY89" s="4"/>
      <c r="NZ89" s="4"/>
      <c r="OA89" s="4">
        <v>12801</v>
      </c>
      <c r="OB89" s="4">
        <v>13264</v>
      </c>
      <c r="OC89" s="4"/>
      <c r="OD89" s="4"/>
      <c r="OE89" s="77">
        <f t="shared" si="82"/>
        <v>-4.8905274245730193E-4</v>
      </c>
      <c r="OF89" s="8">
        <f t="shared" si="71"/>
        <v>26569</v>
      </c>
      <c r="OG89" s="2"/>
      <c r="OI89" s="1">
        <v>82</v>
      </c>
      <c r="OJ89" s="40"/>
      <c r="OK89" s="40"/>
      <c r="OL89" s="40"/>
      <c r="OM89" s="40"/>
      <c r="ON89" s="40"/>
      <c r="OO89" s="40"/>
      <c r="OP89" s="1">
        <v>29459</v>
      </c>
      <c r="OQ89" s="40"/>
      <c r="OR89" s="77">
        <f t="shared" si="83"/>
        <v>-1.2303988765923301E-2</v>
      </c>
      <c r="OS89" s="8">
        <f t="shared" si="49"/>
        <v>29541</v>
      </c>
      <c r="OT89" s="37"/>
      <c r="OU89" s="126">
        <f t="shared" si="65"/>
        <v>659756</v>
      </c>
      <c r="OV89" s="71">
        <f t="shared" si="73"/>
        <v>-8.762584356676624E-2</v>
      </c>
      <c r="OW89" s="139">
        <f>IF(A89="","",SUM(Z$17:Z89))</f>
        <v>20000</v>
      </c>
      <c r="OX89" s="139">
        <f t="shared" si="52"/>
        <v>676784</v>
      </c>
      <c r="OY89" s="132">
        <f t="shared" si="53"/>
        <v>-5.1577308506717455E-2</v>
      </c>
      <c r="OZ89" s="140">
        <f t="shared" si="66"/>
        <v>1053520</v>
      </c>
      <c r="PA89" s="84">
        <f t="shared" si="77"/>
        <v>-2.5415497218300935E-2</v>
      </c>
      <c r="PB89" s="130">
        <f>IF(A89="","",SUM(HB$17:HB89)+SUM(KY$17:KY89))</f>
        <v>115756.47</v>
      </c>
      <c r="PC89" s="131">
        <f t="shared" si="54"/>
        <v>834705.47</v>
      </c>
      <c r="PD89" s="132">
        <f t="shared" si="55"/>
        <v>0.26370769438064795</v>
      </c>
      <c r="PE89" s="133">
        <f t="shared" si="67"/>
        <v>718949</v>
      </c>
      <c r="PF89" s="84">
        <f t="shared" si="69"/>
        <v>-3.3884958308977177E-2</v>
      </c>
      <c r="PG89" s="133">
        <f t="shared" si="68"/>
        <v>994327</v>
      </c>
      <c r="PH89" s="84">
        <f t="shared" si="70"/>
        <v>-6.1910525883792519E-2</v>
      </c>
      <c r="PI89" s="135">
        <f t="shared" si="56"/>
        <v>1713276</v>
      </c>
      <c r="PJ89" s="136">
        <f t="shared" si="74"/>
        <v>-5.0350476743709099E-2</v>
      </c>
      <c r="PK89" s="123">
        <f t="shared" si="72"/>
        <v>-8.0492514708139631E-2</v>
      </c>
      <c r="PL89" s="137">
        <f t="shared" si="57"/>
        <v>135756.47</v>
      </c>
      <c r="PM89" s="9">
        <f t="shared" si="58"/>
        <v>1511489.47</v>
      </c>
      <c r="PN89" s="138">
        <f t="shared" si="59"/>
        <v>9.9977054238743604E-2</v>
      </c>
      <c r="PO89" s="86">
        <f>IF(PI89="","",MAX(PI$15:PI89))</f>
        <v>1940884.25</v>
      </c>
      <c r="PP89" s="113">
        <f t="shared" si="75"/>
        <v>-0.13284972765625619</v>
      </c>
      <c r="PQ89" s="41"/>
      <c r="PR89" s="302"/>
    </row>
    <row r="90" spans="1:434" s="1" customFormat="1" ht="15" customHeight="1" x14ac:dyDescent="0.45">
      <c r="A90" s="18">
        <v>44744</v>
      </c>
      <c r="B90" s="3"/>
      <c r="C90" s="4">
        <v>24030</v>
      </c>
      <c r="D90" s="10"/>
      <c r="E90" s="10"/>
      <c r="F90" s="10"/>
      <c r="G90" s="4"/>
      <c r="H90" s="4"/>
      <c r="I90" s="4">
        <v>19152</v>
      </c>
      <c r="J90" s="4"/>
      <c r="K90" s="4">
        <v>16790</v>
      </c>
      <c r="L90" s="4">
        <v>18088</v>
      </c>
      <c r="M90" s="4">
        <v>20766</v>
      </c>
      <c r="N90" s="4"/>
      <c r="O90" s="10"/>
      <c r="P90" s="4">
        <v>71282</v>
      </c>
      <c r="Q90" s="4"/>
      <c r="R90" s="4"/>
      <c r="S90" s="4"/>
      <c r="T90" s="4"/>
      <c r="U90" s="10"/>
      <c r="V90" s="10"/>
      <c r="W90" s="10"/>
      <c r="X90" s="4"/>
      <c r="Y90" s="18" t="str">
        <f t="shared" si="64"/>
        <v/>
      </c>
      <c r="Z90" s="4"/>
      <c r="AA90" s="77">
        <f t="shared" si="78"/>
        <v>-3.5007005939448263E-2</v>
      </c>
      <c r="AB90" s="8">
        <f t="shared" si="60"/>
        <v>170108</v>
      </c>
      <c r="AC90" s="2"/>
      <c r="AD90" s="3"/>
      <c r="AE90" s="4">
        <v>63052</v>
      </c>
      <c r="AF90" s="4">
        <f>242163-AT90-CF90-AE90</f>
        <v>109889</v>
      </c>
      <c r="AG90" s="4"/>
      <c r="AH90" s="4"/>
      <c r="AI90" s="1">
        <v>9997</v>
      </c>
      <c r="AJ90" s="4"/>
      <c r="AK90" s="4"/>
      <c r="AL90" s="4">
        <v>28078</v>
      </c>
      <c r="AM90" s="4"/>
      <c r="AN90" s="1">
        <v>6103</v>
      </c>
      <c r="AO90" s="4"/>
      <c r="AP90" s="10"/>
      <c r="AQ90" s="4"/>
      <c r="AR90" s="4"/>
      <c r="AS90" s="4"/>
      <c r="AT90" s="4">
        <v>33948</v>
      </c>
      <c r="AU90" s="4"/>
      <c r="AW90" s="4"/>
      <c r="AX90" s="4"/>
      <c r="AY90" s="4"/>
      <c r="AZ90" s="4"/>
      <c r="BA90" s="4"/>
      <c r="BB90" s="4"/>
      <c r="BC90" s="4"/>
      <c r="BD90" s="4"/>
      <c r="BE90" s="4">
        <v>17398</v>
      </c>
      <c r="BF90" s="4"/>
      <c r="BG90" s="1">
        <v>5652</v>
      </c>
      <c r="BH90" s="4"/>
      <c r="BI90" s="4"/>
      <c r="BJ90" s="4">
        <v>16745</v>
      </c>
      <c r="BK90" s="4"/>
      <c r="BL90" s="4"/>
      <c r="BM90" s="4"/>
      <c r="BN90" s="4"/>
      <c r="BO90" s="4"/>
      <c r="BP90" s="4"/>
      <c r="BQ90" s="4"/>
      <c r="BR90" s="1">
        <v>9979</v>
      </c>
      <c r="BS90" s="10"/>
      <c r="BT90" s="4"/>
      <c r="BU90" s="4"/>
      <c r="BV90" s="4"/>
      <c r="BW90" s="4"/>
      <c r="BX90" s="1">
        <v>4527</v>
      </c>
      <c r="BY90" s="1">
        <v>9497</v>
      </c>
      <c r="BZ90" s="1">
        <v>6940</v>
      </c>
      <c r="CA90" s="4"/>
      <c r="CB90" s="4"/>
      <c r="CC90" s="4"/>
      <c r="CD90" s="4"/>
      <c r="CE90" s="4"/>
      <c r="CF90" s="4">
        <v>35274</v>
      </c>
      <c r="CG90" s="4"/>
      <c r="CH90" s="4">
        <v>25870</v>
      </c>
      <c r="CI90" s="4"/>
      <c r="CJ90" s="10"/>
      <c r="CK90" s="4"/>
      <c r="CL90" s="10"/>
      <c r="CM90" s="1">
        <v>9200</v>
      </c>
      <c r="CN90" s="4"/>
      <c r="CO90" s="10"/>
      <c r="CP90" s="4"/>
      <c r="CQ90" s="4">
        <v>13913</v>
      </c>
      <c r="CR90" s="10"/>
      <c r="CS90" s="4"/>
      <c r="CT90" s="4"/>
      <c r="CU90" s="4">
        <v>6149</v>
      </c>
      <c r="CV90" s="4">
        <v>23348</v>
      </c>
      <c r="CW90" s="4"/>
      <c r="CX90" s="4"/>
      <c r="CY90" s="77">
        <f t="shared" si="76"/>
        <v>-4.048368051883966E-2</v>
      </c>
      <c r="CZ90" s="8">
        <f t="shared" si="61"/>
        <v>435559</v>
      </c>
      <c r="DA90" s="2"/>
      <c r="DD90" s="1">
        <v>16886</v>
      </c>
      <c r="DF90" s="1">
        <v>9842</v>
      </c>
      <c r="DH90" s="4"/>
      <c r="DJ90" s="4"/>
      <c r="DL90" s="1">
        <v>15000</v>
      </c>
      <c r="DM90" s="1">
        <v>22052</v>
      </c>
      <c r="DN90" s="1">
        <v>14784</v>
      </c>
      <c r="DP90" s="1">
        <v>23382</v>
      </c>
      <c r="DQ90" s="1">
        <v>15270</v>
      </c>
      <c r="DR90" s="1">
        <v>16140</v>
      </c>
      <c r="DS90" s="1">
        <v>12300</v>
      </c>
      <c r="DU90" s="1">
        <v>13400</v>
      </c>
      <c r="DX90" s="2"/>
      <c r="DY90" s="32"/>
      <c r="DZ90" s="4">
        <v>553</v>
      </c>
      <c r="EA90" s="32"/>
      <c r="EB90" s="32"/>
      <c r="EC90" s="32"/>
      <c r="ED90" s="32"/>
      <c r="EE90" s="4">
        <v>12615</v>
      </c>
      <c r="EF90" s="4">
        <v>13192</v>
      </c>
      <c r="EG90" s="32"/>
      <c r="EH90" s="32"/>
      <c r="EI90" s="32"/>
      <c r="EJ90" s="32"/>
      <c r="EK90" s="5"/>
      <c r="EO90" s="2"/>
      <c r="EQ90" s="468" t="s">
        <v>1</v>
      </c>
      <c r="ER90"/>
      <c r="ES90" s="6"/>
      <c r="ET90" s="10"/>
      <c r="EU90" s="10"/>
      <c r="EV90" s="10"/>
      <c r="EW90" s="10"/>
      <c r="EX90" s="4">
        <v>2642</v>
      </c>
      <c r="EY90" s="4"/>
      <c r="EZ90" s="4"/>
      <c r="FA90" s="4"/>
      <c r="FB90" s="4"/>
      <c r="FC90" s="4">
        <v>10956</v>
      </c>
      <c r="FD90" s="4"/>
      <c r="FE90" s="4"/>
      <c r="FF90" s="4"/>
      <c r="FG90" s="4"/>
      <c r="FH90" s="10"/>
      <c r="FI90" s="10"/>
      <c r="FJ90" s="10"/>
      <c r="FK90" s="10"/>
      <c r="FL90" s="10"/>
      <c r="FM90" s="10"/>
      <c r="FN90" s="4">
        <v>9614</v>
      </c>
      <c r="FO90" s="4"/>
      <c r="FP90" s="10"/>
      <c r="FQ90" s="4"/>
      <c r="FR90" s="4"/>
      <c r="FS90" s="10"/>
      <c r="FT90" s="4">
        <v>19152</v>
      </c>
      <c r="FU90" s="4"/>
      <c r="FV90" s="4">
        <v>17179</v>
      </c>
      <c r="FW90" s="4">
        <v>16790</v>
      </c>
      <c r="FX90" s="4">
        <v>6109</v>
      </c>
      <c r="FY90" s="4">
        <v>18088</v>
      </c>
      <c r="FZ90" s="10"/>
      <c r="GA90" s="10"/>
      <c r="GB90" s="10"/>
      <c r="GC90" s="10"/>
      <c r="GD90" s="4">
        <v>20766</v>
      </c>
      <c r="GE90" s="4">
        <v>17559</v>
      </c>
      <c r="GF90" s="4"/>
      <c r="GG90" s="4"/>
      <c r="GH90" s="4"/>
      <c r="GI90" s="4"/>
      <c r="GJ90" s="4">
        <v>22437</v>
      </c>
      <c r="GK90" s="4"/>
      <c r="GL90" s="4"/>
      <c r="GM90" s="4"/>
      <c r="GN90" s="10"/>
      <c r="GO90" s="10"/>
      <c r="GP90" s="4"/>
      <c r="GQ90" s="10"/>
      <c r="GR90" s="4">
        <v>19373</v>
      </c>
      <c r="GS90" s="10"/>
      <c r="GT90" s="4"/>
      <c r="GU90" s="10"/>
      <c r="GV90" s="4"/>
      <c r="GW90" s="10">
        <v>14490</v>
      </c>
      <c r="GX90" s="10"/>
      <c r="GY90" s="10"/>
      <c r="GZ90" s="10"/>
      <c r="HA90" s="18"/>
      <c r="HB90" s="4"/>
      <c r="HC90" s="77">
        <f t="shared" si="79"/>
        <v>-6.1127388014105583E-2</v>
      </c>
      <c r="HD90" s="8">
        <f t="shared" si="51"/>
        <v>195155</v>
      </c>
      <c r="HE90" s="2"/>
      <c r="HF90" s="3"/>
      <c r="HG90" s="4">
        <v>13296</v>
      </c>
      <c r="HH90" s="4"/>
      <c r="HI90" s="4">
        <v>23070</v>
      </c>
      <c r="HJ90" s="4"/>
      <c r="HK90" s="4"/>
      <c r="HL90" s="4"/>
      <c r="HM90" s="4"/>
      <c r="HN90" s="4">
        <v>28078</v>
      </c>
      <c r="HO90" s="4">
        <v>18936</v>
      </c>
      <c r="HP90" s="4"/>
      <c r="HQ90" s="4">
        <v>25050</v>
      </c>
      <c r="HR90" s="4"/>
      <c r="HS90" s="4"/>
      <c r="HT90" s="10"/>
      <c r="HU90" s="10"/>
      <c r="HV90" s="4"/>
      <c r="HW90" s="4"/>
      <c r="HX90" s="4"/>
      <c r="HY90" s="4"/>
      <c r="HZ90" s="4">
        <v>18155</v>
      </c>
      <c r="IA90" s="4">
        <v>15307</v>
      </c>
      <c r="IB90" s="4"/>
      <c r="IC90" s="4">
        <v>18363</v>
      </c>
      <c r="ID90" s="10"/>
      <c r="IE90" s="4">
        <v>21478</v>
      </c>
      <c r="IF90" s="10"/>
      <c r="IG90" s="4"/>
      <c r="IH90" s="4">
        <v>20004</v>
      </c>
      <c r="II90" s="4"/>
      <c r="IJ90" s="4"/>
      <c r="IK90" s="4"/>
      <c r="IL90" s="4"/>
      <c r="IM90" s="4">
        <v>17398</v>
      </c>
      <c r="IN90" s="4"/>
      <c r="IO90" s="4"/>
      <c r="IP90" s="4">
        <v>16745</v>
      </c>
      <c r="IQ90" s="4"/>
      <c r="IR90" s="4"/>
      <c r="IS90" s="4"/>
      <c r="IT90" s="10"/>
      <c r="IU90" s="4"/>
      <c r="IV90" s="4"/>
      <c r="IW90" s="4"/>
      <c r="IX90" s="10"/>
      <c r="IY90" s="4"/>
      <c r="IZ90" s="4">
        <v>24143</v>
      </c>
      <c r="JA90" s="4"/>
      <c r="JB90" s="4"/>
      <c r="JC90" s="4"/>
      <c r="JD90" s="4"/>
      <c r="JE90" s="4"/>
      <c r="JF90" s="10"/>
      <c r="JG90" s="10"/>
      <c r="JH90" s="10"/>
      <c r="JI90" s="4"/>
      <c r="JJ90" s="4"/>
      <c r="JK90" s="4">
        <v>17989</v>
      </c>
      <c r="JL90" s="4"/>
      <c r="JM90" s="4"/>
      <c r="JN90" s="10">
        <v>17707</v>
      </c>
      <c r="JO90" s="10"/>
      <c r="JP90" s="4"/>
      <c r="JQ90" s="4"/>
      <c r="JR90" s="4"/>
      <c r="JS90" s="4">
        <v>15268</v>
      </c>
      <c r="JT90" s="4">
        <v>21797</v>
      </c>
      <c r="JU90" s="10"/>
      <c r="JV90" s="4"/>
      <c r="JW90" s="4"/>
      <c r="JX90" s="4">
        <v>25870</v>
      </c>
      <c r="JY90" s="4"/>
      <c r="JZ90" s="4">
        <v>16649</v>
      </c>
      <c r="KA90" s="4"/>
      <c r="KB90" s="4"/>
      <c r="KC90" s="4">
        <v>16930</v>
      </c>
      <c r="KD90" s="10"/>
      <c r="KE90" s="10"/>
      <c r="KF90" s="10"/>
      <c r="KG90" s="4"/>
      <c r="KH90" s="10"/>
      <c r="KI90" s="10"/>
      <c r="KJ90" s="10"/>
      <c r="KK90" s="10"/>
      <c r="KL90" s="4">
        <v>13913</v>
      </c>
      <c r="KM90" s="10"/>
      <c r="KN90" s="4"/>
      <c r="KO90" s="4">
        <v>23238</v>
      </c>
      <c r="KP90" s="4">
        <v>6149</v>
      </c>
      <c r="KQ90" s="4">
        <v>23348</v>
      </c>
      <c r="KR90" s="10"/>
      <c r="KS90" s="4">
        <v>21519</v>
      </c>
      <c r="KT90" s="4">
        <v>17510</v>
      </c>
      <c r="KU90" s="4"/>
      <c r="KV90" s="4"/>
      <c r="KW90" s="4"/>
      <c r="KX90" s="18"/>
      <c r="KY90" s="4"/>
      <c r="KZ90" s="77">
        <f t="shared" si="80"/>
        <v>-2.5784209372945559E-2</v>
      </c>
      <c r="LA90" s="8">
        <f t="shared" si="62"/>
        <v>497910</v>
      </c>
      <c r="LB90" s="2"/>
      <c r="LC90" s="43"/>
      <c r="LD90" s="1">
        <v>3113</v>
      </c>
      <c r="LF90" s="1">
        <v>9997</v>
      </c>
      <c r="LG90" s="1">
        <v>16886</v>
      </c>
      <c r="LI90" s="1">
        <v>6103</v>
      </c>
      <c r="LM90" s="1">
        <v>9842</v>
      </c>
      <c r="LQ90" s="1">
        <v>7481</v>
      </c>
      <c r="LU90" s="1">
        <v>8279</v>
      </c>
      <c r="LY90" s="1">
        <v>5652</v>
      </c>
      <c r="MD90" s="1">
        <v>15000</v>
      </c>
      <c r="ME90" s="1">
        <v>9979</v>
      </c>
      <c r="MI90" s="1">
        <v>22052</v>
      </c>
      <c r="ML90" s="1">
        <v>6438</v>
      </c>
      <c r="MM90" s="1">
        <v>4527</v>
      </c>
      <c r="MN90" s="1">
        <v>9497</v>
      </c>
      <c r="MO90" s="172">
        <v>6980</v>
      </c>
      <c r="MQ90" s="1">
        <v>6940</v>
      </c>
      <c r="MT90" s="1">
        <v>14784</v>
      </c>
      <c r="MV90" s="1">
        <v>23382</v>
      </c>
      <c r="MW90" s="1">
        <v>8114</v>
      </c>
      <c r="MX90" s="1">
        <v>15270</v>
      </c>
      <c r="NC90" s="1">
        <v>16140</v>
      </c>
      <c r="ND90" s="1">
        <v>12300</v>
      </c>
      <c r="NF90" s="1">
        <v>13400</v>
      </c>
      <c r="NG90" s="1">
        <v>9200</v>
      </c>
      <c r="NH90" s="1">
        <v>5101</v>
      </c>
      <c r="NI90" s="1">
        <v>14760</v>
      </c>
      <c r="NK90" s="1">
        <v>9295</v>
      </c>
      <c r="NM90" s="1">
        <v>6149</v>
      </c>
      <c r="NN90" s="1">
        <v>9339</v>
      </c>
      <c r="NO90" s="77"/>
      <c r="NP90" s="63"/>
      <c r="NQ90"/>
      <c r="NR90" s="77">
        <f t="shared" si="81"/>
        <v>-6.4999577924818672E-3</v>
      </c>
      <c r="NS90" s="8">
        <f t="shared" si="84"/>
        <v>306000</v>
      </c>
      <c r="NT90" s="2"/>
      <c r="NU90" s="7"/>
      <c r="NV90" s="4">
        <v>553</v>
      </c>
      <c r="NW90" s="4"/>
      <c r="NX90" s="4"/>
      <c r="NY90" s="4"/>
      <c r="NZ90" s="4"/>
      <c r="OA90" s="4">
        <v>12615</v>
      </c>
      <c r="OB90" s="4">
        <v>13192</v>
      </c>
      <c r="OC90" s="4"/>
      <c r="OD90" s="4"/>
      <c r="OE90" s="77">
        <f t="shared" si="82"/>
        <v>-7.8663103616997253E-3</v>
      </c>
      <c r="OF90" s="8">
        <f t="shared" si="71"/>
        <v>26360</v>
      </c>
      <c r="OG90" s="2"/>
      <c r="OI90" s="1">
        <v>82</v>
      </c>
      <c r="OJ90" s="40"/>
      <c r="OK90" s="40"/>
      <c r="OL90" s="40"/>
      <c r="OM90" s="40"/>
      <c r="ON90" s="40"/>
      <c r="OO90" s="40"/>
      <c r="OP90" s="1">
        <v>29121</v>
      </c>
      <c r="OQ90" s="40"/>
      <c r="OR90" s="77">
        <f t="shared" si="83"/>
        <v>-1.1441725060085983E-2</v>
      </c>
      <c r="OS90" s="8">
        <f t="shared" ref="OS90:OS114" si="85">IF(A90="","",SUM(OI90:OQ90))</f>
        <v>29203</v>
      </c>
      <c r="OT90" s="37"/>
      <c r="OU90" s="126">
        <f t="shared" si="65"/>
        <v>634870</v>
      </c>
      <c r="OV90" s="71">
        <f t="shared" si="73"/>
        <v>-3.7720005577819682E-2</v>
      </c>
      <c r="OW90" s="139">
        <f>IF(A90="","",SUM(Z$17:Z90))</f>
        <v>20000</v>
      </c>
      <c r="OX90" s="139">
        <f t="shared" si="52"/>
        <v>652027</v>
      </c>
      <c r="OY90" s="132">
        <f t="shared" si="53"/>
        <v>-8.6270948683345741E-2</v>
      </c>
      <c r="OZ90" s="140">
        <f t="shared" si="66"/>
        <v>1025425</v>
      </c>
      <c r="PA90" s="84">
        <f t="shared" si="77"/>
        <v>-2.6667742425392969E-2</v>
      </c>
      <c r="PB90" s="130">
        <f>IF(A90="","",SUM(HB$17:HB90)+SUM(KY$17:KY90))</f>
        <v>115756.47</v>
      </c>
      <c r="PC90" s="131">
        <f t="shared" si="54"/>
        <v>808821.47</v>
      </c>
      <c r="PD90" s="132">
        <f t="shared" si="55"/>
        <v>0.22452044673825658</v>
      </c>
      <c r="PE90" s="133">
        <f t="shared" si="67"/>
        <v>693065</v>
      </c>
      <c r="PF90" s="84">
        <f t="shared" si="69"/>
        <v>-3.6002553727733123E-2</v>
      </c>
      <c r="PG90" s="133">
        <f t="shared" si="68"/>
        <v>967230</v>
      </c>
      <c r="PH90" s="84">
        <f t="shared" si="70"/>
        <v>-2.7251598317253781E-2</v>
      </c>
      <c r="PI90" s="135">
        <f t="shared" si="56"/>
        <v>1660295</v>
      </c>
      <c r="PJ90" s="136">
        <f t="shared" si="74"/>
        <v>-3.09237974500314E-2</v>
      </c>
      <c r="PK90" s="123">
        <f t="shared" si="72"/>
        <v>-0.10372390532039687</v>
      </c>
      <c r="PL90" s="137">
        <f t="shared" si="57"/>
        <v>135756.47</v>
      </c>
      <c r="PM90" s="9">
        <f t="shared" si="58"/>
        <v>1460848.47</v>
      </c>
      <c r="PN90" s="138">
        <f t="shared" si="59"/>
        <v>6.3123381679778157E-2</v>
      </c>
      <c r="PO90" s="86">
        <f>IF(PI90="","",MAX(PI$15:PI90))</f>
        <v>1940884.25</v>
      </c>
      <c r="PP90" s="113">
        <f t="shared" si="75"/>
        <v>-0.16899963560692527</v>
      </c>
      <c r="PQ90" s="41"/>
      <c r="PR90" s="302"/>
    </row>
    <row r="91" spans="1:434" s="1" customFormat="1" ht="15" customHeight="1" x14ac:dyDescent="0.45">
      <c r="A91" s="18">
        <v>44774</v>
      </c>
      <c r="B91" s="3"/>
      <c r="C91" s="4">
        <v>9051</v>
      </c>
      <c r="D91" s="10"/>
      <c r="E91" s="10"/>
      <c r="F91" s="10"/>
      <c r="G91" s="4"/>
      <c r="H91" s="4"/>
      <c r="I91" s="4">
        <v>20166</v>
      </c>
      <c r="J91" s="4"/>
      <c r="K91" s="4">
        <v>18286</v>
      </c>
      <c r="L91" s="4">
        <v>18458</v>
      </c>
      <c r="M91" s="4">
        <v>22459</v>
      </c>
      <c r="N91" s="4"/>
      <c r="O91" s="10"/>
      <c r="P91" s="4">
        <v>71770</v>
      </c>
      <c r="Q91" s="4"/>
      <c r="R91" s="4"/>
      <c r="S91" s="4"/>
      <c r="T91" s="4"/>
      <c r="U91" s="10"/>
      <c r="V91" s="10"/>
      <c r="W91" s="10"/>
      <c r="X91" s="4"/>
      <c r="Y91" s="18" t="str">
        <f t="shared" si="64"/>
        <v/>
      </c>
      <c r="Z91" s="4"/>
      <c r="AA91" s="77">
        <f t="shared" si="78"/>
        <v>-5.8304136195828533E-2</v>
      </c>
      <c r="AB91" s="8">
        <f t="shared" si="60"/>
        <v>160190</v>
      </c>
      <c r="AC91" s="2"/>
      <c r="AD91" s="3"/>
      <c r="AE91" s="4">
        <v>13709</v>
      </c>
      <c r="AF91" s="4">
        <f>29938+30178+25068+25118</f>
        <v>110302</v>
      </c>
      <c r="AG91" s="4"/>
      <c r="AH91" s="4"/>
      <c r="AI91" s="1">
        <v>9328</v>
      </c>
      <c r="AJ91" s="4"/>
      <c r="AK91" s="4"/>
      <c r="AL91" s="4">
        <v>23511</v>
      </c>
      <c r="AM91" s="4"/>
      <c r="AN91" s="1">
        <v>6220</v>
      </c>
      <c r="AO91" s="4"/>
      <c r="AP91" s="10"/>
      <c r="AQ91" s="4"/>
      <c r="AR91" s="4"/>
      <c r="AS91" s="4"/>
      <c r="AT91" s="4">
        <v>87450</v>
      </c>
      <c r="AU91" s="4"/>
      <c r="AW91" s="4"/>
      <c r="AX91" s="4"/>
      <c r="AY91" s="4"/>
      <c r="AZ91" s="4"/>
      <c r="BA91" s="4"/>
      <c r="BB91" s="4"/>
      <c r="BC91" s="4"/>
      <c r="BD91" s="4"/>
      <c r="BE91" s="4">
        <v>18611</v>
      </c>
      <c r="BF91" s="4"/>
      <c r="BG91" s="1">
        <v>6063</v>
      </c>
      <c r="BH91" s="4"/>
      <c r="BI91" s="4"/>
      <c r="BJ91" s="4">
        <v>22571</v>
      </c>
      <c r="BK91" s="4"/>
      <c r="BL91" s="4"/>
      <c r="BM91" s="4"/>
      <c r="BN91" s="4"/>
      <c r="BO91" s="4"/>
      <c r="BP91" s="4"/>
      <c r="BQ91" s="4"/>
      <c r="BR91" s="1">
        <v>9946</v>
      </c>
      <c r="BS91" s="10"/>
      <c r="BT91" s="4"/>
      <c r="BU91" s="4"/>
      <c r="BV91" s="4"/>
      <c r="BW91" s="4"/>
      <c r="BX91" s="1">
        <v>4597</v>
      </c>
      <c r="BY91" s="1">
        <v>9029</v>
      </c>
      <c r="BZ91" s="1">
        <v>7270</v>
      </c>
      <c r="CA91" s="4"/>
      <c r="CB91" s="4"/>
      <c r="CC91" s="4"/>
      <c r="CD91" s="4"/>
      <c r="CE91" s="4"/>
      <c r="CF91" s="4">
        <v>35574</v>
      </c>
      <c r="CG91" s="4"/>
      <c r="CH91" s="4">
        <v>27117</v>
      </c>
      <c r="CI91" s="4"/>
      <c r="CJ91" s="10"/>
      <c r="CK91" s="4"/>
      <c r="CL91" s="10"/>
      <c r="CM91" s="1">
        <v>9666</v>
      </c>
      <c r="CN91" s="4"/>
      <c r="CO91" s="10"/>
      <c r="CP91" s="4"/>
      <c r="CQ91" s="4">
        <v>14844</v>
      </c>
      <c r="CR91" s="10"/>
      <c r="CS91" s="4"/>
      <c r="CT91" s="4"/>
      <c r="CU91" s="4">
        <v>6345</v>
      </c>
      <c r="CV91" s="4">
        <v>24684</v>
      </c>
      <c r="CW91" s="4"/>
      <c r="CX91" s="4"/>
      <c r="CY91" s="77">
        <f t="shared" si="76"/>
        <v>2.589316257958164E-2</v>
      </c>
      <c r="CZ91" s="8">
        <f t="shared" si="61"/>
        <v>446837</v>
      </c>
      <c r="DA91" s="2"/>
      <c r="DD91" s="1">
        <v>17138</v>
      </c>
      <c r="DF91" s="1">
        <v>9977</v>
      </c>
      <c r="DH91" s="4"/>
      <c r="DJ91" s="4"/>
      <c r="DL91" s="1">
        <v>15018</v>
      </c>
      <c r="DM91" s="1">
        <v>22553</v>
      </c>
      <c r="DN91" s="1">
        <v>14795</v>
      </c>
      <c r="DP91" s="1">
        <v>23598</v>
      </c>
      <c r="DQ91" s="1">
        <v>15293</v>
      </c>
      <c r="DR91" s="1">
        <v>16553</v>
      </c>
      <c r="DS91" s="1">
        <v>12745</v>
      </c>
      <c r="DU91" s="1">
        <v>13521</v>
      </c>
      <c r="DX91" s="2"/>
      <c r="DY91" s="32"/>
      <c r="DZ91" s="4">
        <v>573</v>
      </c>
      <c r="EA91" s="32"/>
      <c r="EB91" s="32"/>
      <c r="EC91" s="32"/>
      <c r="ED91" s="32"/>
      <c r="EE91" s="4">
        <v>12910</v>
      </c>
      <c r="EF91" s="4">
        <v>13308</v>
      </c>
      <c r="EG91" s="32"/>
      <c r="EH91" s="32"/>
      <c r="EI91" s="32"/>
      <c r="EJ91" s="32"/>
      <c r="EK91" s="5"/>
      <c r="EO91" s="2"/>
      <c r="EQ91" s="468" t="s">
        <v>1</v>
      </c>
      <c r="ER91"/>
      <c r="ES91" s="6"/>
      <c r="ET91" s="10"/>
      <c r="EU91" s="10"/>
      <c r="EV91" s="10"/>
      <c r="EW91" s="10"/>
      <c r="EX91" s="4">
        <v>2602</v>
      </c>
      <c r="EY91" s="4"/>
      <c r="EZ91" s="4"/>
      <c r="FA91" s="4"/>
      <c r="FB91" s="4"/>
      <c r="FC91" s="4">
        <v>13495</v>
      </c>
      <c r="FD91" s="4"/>
      <c r="FE91" s="4"/>
      <c r="FF91" s="4"/>
      <c r="FG91" s="4"/>
      <c r="FH91" s="10"/>
      <c r="FI91" s="10"/>
      <c r="FJ91" s="10"/>
      <c r="FK91" s="10"/>
      <c r="FL91" s="10"/>
      <c r="FM91" s="10"/>
      <c r="FN91" s="4">
        <v>10610</v>
      </c>
      <c r="FO91" s="4"/>
      <c r="FP91" s="10"/>
      <c r="FQ91" s="4"/>
      <c r="FR91" s="4"/>
      <c r="FS91" s="10"/>
      <c r="FT91" s="4">
        <v>20166</v>
      </c>
      <c r="FU91" s="4"/>
      <c r="FV91" s="4">
        <v>18820</v>
      </c>
      <c r="FW91" s="4">
        <v>18286</v>
      </c>
      <c r="FX91" s="4">
        <v>6341</v>
      </c>
      <c r="FY91" s="4">
        <v>18458</v>
      </c>
      <c r="FZ91" s="10"/>
      <c r="GA91" s="10"/>
      <c r="GB91" s="10"/>
      <c r="GC91" s="10"/>
      <c r="GD91" s="4">
        <v>22459</v>
      </c>
      <c r="GE91" s="4">
        <v>18339</v>
      </c>
      <c r="GF91" s="4"/>
      <c r="GG91" s="4"/>
      <c r="GH91" s="4"/>
      <c r="GI91" s="4"/>
      <c r="GJ91" s="4">
        <v>21859</v>
      </c>
      <c r="GK91" s="4"/>
      <c r="GL91" s="4"/>
      <c r="GM91" s="4"/>
      <c r="GN91" s="10"/>
      <c r="GO91" s="10"/>
      <c r="GP91" s="4"/>
      <c r="GQ91" s="10"/>
      <c r="GR91" s="4">
        <v>20457</v>
      </c>
      <c r="GS91" s="10"/>
      <c r="GT91" s="4"/>
      <c r="GU91" s="10"/>
      <c r="GV91" s="4"/>
      <c r="GW91" s="10">
        <v>14462</v>
      </c>
      <c r="GX91" s="10"/>
      <c r="GY91" s="10"/>
      <c r="GZ91" s="10"/>
      <c r="HA91" s="18"/>
      <c r="HB91" s="4"/>
      <c r="HC91" s="77">
        <f t="shared" si="79"/>
        <v>5.7385155389305935E-2</v>
      </c>
      <c r="HD91" s="8">
        <f t="shared" si="51"/>
        <v>206354</v>
      </c>
      <c r="HE91" s="2"/>
      <c r="HF91" s="3"/>
      <c r="HG91" s="4">
        <v>12671</v>
      </c>
      <c r="HH91" s="4"/>
      <c r="HI91" s="4">
        <v>21527</v>
      </c>
      <c r="HJ91" s="4"/>
      <c r="HK91" s="4"/>
      <c r="HL91" s="4"/>
      <c r="HM91" s="4"/>
      <c r="HN91" s="4">
        <v>23511</v>
      </c>
      <c r="HO91" s="4">
        <v>20286</v>
      </c>
      <c r="HP91" s="4"/>
      <c r="HQ91" s="4">
        <v>25977</v>
      </c>
      <c r="HR91" s="4"/>
      <c r="HS91" s="4"/>
      <c r="HT91" s="10"/>
      <c r="HU91" s="10"/>
      <c r="HV91" s="4"/>
      <c r="HW91" s="4"/>
      <c r="HX91" s="4"/>
      <c r="HY91" s="4"/>
      <c r="HZ91" s="4">
        <v>19509</v>
      </c>
      <c r="IA91" s="4">
        <v>15291</v>
      </c>
      <c r="IB91" s="4"/>
      <c r="IC91" s="4">
        <v>18437</v>
      </c>
      <c r="ID91" s="10"/>
      <c r="IE91" s="4">
        <v>22965</v>
      </c>
      <c r="IF91" s="10"/>
      <c r="IG91" s="4"/>
      <c r="IH91" s="4">
        <v>19888</v>
      </c>
      <c r="II91" s="4"/>
      <c r="IJ91" s="4"/>
      <c r="IK91" s="4"/>
      <c r="IL91" s="4"/>
      <c r="IM91" s="4">
        <v>18611</v>
      </c>
      <c r="IN91" s="4"/>
      <c r="IO91" s="4"/>
      <c r="IP91" s="4">
        <v>22571</v>
      </c>
      <c r="IQ91" s="4"/>
      <c r="IR91" s="4"/>
      <c r="IS91" s="4"/>
      <c r="IT91" s="10"/>
      <c r="IU91" s="4"/>
      <c r="IV91" s="4"/>
      <c r="IW91" s="4"/>
      <c r="IX91" s="10"/>
      <c r="IY91" s="4"/>
      <c r="IZ91" s="4">
        <v>24064</v>
      </c>
      <c r="JA91" s="4"/>
      <c r="JB91" s="4"/>
      <c r="JC91" s="4"/>
      <c r="JD91" s="4"/>
      <c r="JE91" s="4"/>
      <c r="JF91" s="10"/>
      <c r="JG91" s="10"/>
      <c r="JH91" s="10"/>
      <c r="JI91" s="4"/>
      <c r="JJ91" s="4"/>
      <c r="JK91" s="4">
        <v>20054</v>
      </c>
      <c r="JL91" s="4"/>
      <c r="JM91" s="4"/>
      <c r="JN91" s="10">
        <v>20111</v>
      </c>
      <c r="JO91" s="10"/>
      <c r="JP91" s="4"/>
      <c r="JQ91" s="4"/>
      <c r="JR91" s="4"/>
      <c r="JS91" s="4">
        <v>15994</v>
      </c>
      <c r="JT91" s="4">
        <v>23315</v>
      </c>
      <c r="JU91" s="10"/>
      <c r="JV91" s="4"/>
      <c r="JW91" s="4"/>
      <c r="JX91" s="4">
        <v>27117</v>
      </c>
      <c r="JY91" s="4"/>
      <c r="JZ91" s="4">
        <v>17540</v>
      </c>
      <c r="KA91" s="4"/>
      <c r="KB91" s="4"/>
      <c r="KC91" s="4">
        <v>18029</v>
      </c>
      <c r="KD91" s="10"/>
      <c r="KE91" s="10"/>
      <c r="KF91" s="10"/>
      <c r="KG91" s="4"/>
      <c r="KH91" s="10"/>
      <c r="KI91" s="10"/>
      <c r="KJ91" s="10"/>
      <c r="KK91" s="10"/>
      <c r="KL91" s="4">
        <v>14844</v>
      </c>
      <c r="KM91" s="10"/>
      <c r="KN91" s="4"/>
      <c r="KO91" s="4">
        <v>20786</v>
      </c>
      <c r="KP91" s="4">
        <v>6345</v>
      </c>
      <c r="KQ91" s="4">
        <v>24684</v>
      </c>
      <c r="KR91" s="10"/>
      <c r="KS91" s="4">
        <v>22754</v>
      </c>
      <c r="KT91" s="4">
        <v>19386</v>
      </c>
      <c r="KU91" s="4"/>
      <c r="KV91" s="4"/>
      <c r="KW91" s="4"/>
      <c r="KX91" s="18"/>
      <c r="KY91" s="4"/>
      <c r="KZ91" s="77">
        <f t="shared" si="80"/>
        <v>3.6868108694342351E-2</v>
      </c>
      <c r="LA91" s="8">
        <f t="shared" si="62"/>
        <v>516267</v>
      </c>
      <c r="LB91" s="2"/>
      <c r="LC91" s="43"/>
      <c r="LD91" s="1">
        <v>3449</v>
      </c>
      <c r="LF91" s="1">
        <v>9328</v>
      </c>
      <c r="LG91" s="1">
        <v>17138</v>
      </c>
      <c r="LI91" s="1">
        <v>6220</v>
      </c>
      <c r="LM91" s="1">
        <v>9977</v>
      </c>
      <c r="LQ91" s="1">
        <v>7511</v>
      </c>
      <c r="LU91" s="1">
        <v>8318</v>
      </c>
      <c r="LY91" s="1">
        <v>6063</v>
      </c>
      <c r="MD91" s="1">
        <v>15018</v>
      </c>
      <c r="ME91" s="1">
        <v>9946</v>
      </c>
      <c r="MI91" s="1">
        <v>22553</v>
      </c>
      <c r="ML91" s="1">
        <v>6724</v>
      </c>
      <c r="MM91" s="1">
        <v>4597</v>
      </c>
      <c r="MN91" s="1">
        <v>9029</v>
      </c>
      <c r="MO91" s="172">
        <v>6801</v>
      </c>
      <c r="MQ91" s="1">
        <v>7270</v>
      </c>
      <c r="MT91" s="1">
        <v>14795</v>
      </c>
      <c r="MV91" s="1">
        <v>23598</v>
      </c>
      <c r="MW91" s="1">
        <v>8415</v>
      </c>
      <c r="MX91" s="1">
        <v>15293</v>
      </c>
      <c r="NC91" s="1">
        <v>16553</v>
      </c>
      <c r="ND91" s="1">
        <v>12745</v>
      </c>
      <c r="NF91" s="1">
        <v>13521</v>
      </c>
      <c r="NG91" s="1">
        <v>9666</v>
      </c>
      <c r="NH91" s="1">
        <v>5443</v>
      </c>
      <c r="NI91" s="1">
        <v>14777</v>
      </c>
      <c r="NK91" s="1">
        <v>8314</v>
      </c>
      <c r="NM91" s="1">
        <v>6345</v>
      </c>
      <c r="NN91" s="1">
        <v>9874</v>
      </c>
      <c r="NO91" s="77"/>
      <c r="NP91" s="63"/>
      <c r="NQ91"/>
      <c r="NR91" s="77">
        <f t="shared" si="81"/>
        <v>1.0722222222222222E-2</v>
      </c>
      <c r="NS91" s="8">
        <f t="shared" si="84"/>
        <v>309281</v>
      </c>
      <c r="NT91" s="2"/>
      <c r="NU91" s="7"/>
      <c r="NV91" s="4">
        <v>573</v>
      </c>
      <c r="NW91" s="4"/>
      <c r="NX91" s="4"/>
      <c r="NY91" s="4"/>
      <c r="NZ91" s="4"/>
      <c r="OA91" s="4">
        <v>12910</v>
      </c>
      <c r="OB91" s="4">
        <v>13308</v>
      </c>
      <c r="OC91" s="4"/>
      <c r="OD91" s="4"/>
      <c r="OE91" s="77">
        <f t="shared" si="82"/>
        <v>1.6350531107739E-2</v>
      </c>
      <c r="OF91" s="8">
        <f t="shared" si="71"/>
        <v>26791</v>
      </c>
      <c r="OG91" s="2"/>
      <c r="OI91" s="1">
        <v>82</v>
      </c>
      <c r="OJ91" s="40"/>
      <c r="OK91" s="40"/>
      <c r="OL91" s="40"/>
      <c r="OM91" s="40"/>
      <c r="ON91" s="40"/>
      <c r="OO91" s="40"/>
      <c r="OP91" s="1">
        <v>29320</v>
      </c>
      <c r="OQ91" s="40"/>
      <c r="OR91" s="77">
        <f t="shared" si="83"/>
        <v>6.8143683868095743E-3</v>
      </c>
      <c r="OS91" s="8">
        <f t="shared" si="85"/>
        <v>29402</v>
      </c>
      <c r="OT91" s="37"/>
      <c r="OU91" s="126">
        <f t="shared" si="65"/>
        <v>636429</v>
      </c>
      <c r="OV91" s="71">
        <f t="shared" si="73"/>
        <v>2.4556208357616521E-3</v>
      </c>
      <c r="OW91" s="139">
        <f>IF(A91="","",SUM(Z$17:Z91))</f>
        <v>20000</v>
      </c>
      <c r="OX91" s="139">
        <f t="shared" si="52"/>
        <v>653818</v>
      </c>
      <c r="OY91" s="132">
        <f t="shared" si="53"/>
        <v>-8.37611005775033E-2</v>
      </c>
      <c r="OZ91" s="140">
        <f t="shared" si="66"/>
        <v>1058693</v>
      </c>
      <c r="PA91" s="84">
        <f t="shared" si="77"/>
        <v>3.2443133334958678E-2</v>
      </c>
      <c r="PB91" s="130">
        <f>IF(A91="","",SUM(HB$17:HB91)+SUM(KY$17:KY91))</f>
        <v>115756.47</v>
      </c>
      <c r="PC91" s="131">
        <f t="shared" si="54"/>
        <v>838377.47</v>
      </c>
      <c r="PD91" s="132">
        <f t="shared" si="55"/>
        <v>0.26926694230766313</v>
      </c>
      <c r="PE91" s="133">
        <f t="shared" si="67"/>
        <v>722621</v>
      </c>
      <c r="PF91" s="84">
        <f t="shared" si="69"/>
        <v>4.2645350724679502E-2</v>
      </c>
      <c r="PG91" s="133">
        <f t="shared" si="68"/>
        <v>972501</v>
      </c>
      <c r="PH91" s="84">
        <f t="shared" si="70"/>
        <v>5.4495828293167087E-3</v>
      </c>
      <c r="PI91" s="135">
        <f t="shared" si="56"/>
        <v>1695122</v>
      </c>
      <c r="PJ91" s="136">
        <f t="shared" si="74"/>
        <v>2.0976392749481265E-2</v>
      </c>
      <c r="PK91" s="123">
        <f t="shared" si="72"/>
        <v>-8.8360791686879048E-2</v>
      </c>
      <c r="PL91" s="137">
        <f t="shared" si="57"/>
        <v>135756.47</v>
      </c>
      <c r="PM91" s="9">
        <f t="shared" si="58"/>
        <v>1492195.47</v>
      </c>
      <c r="PN91" s="138">
        <f t="shared" si="59"/>
        <v>8.5935965825152255E-2</v>
      </c>
      <c r="PO91" s="86">
        <f>IF(PI91="","",MAX(PI$15:PI91))</f>
        <v>1940884.25</v>
      </c>
      <c r="PP91" s="113">
        <f t="shared" si="75"/>
        <v>-0.14498204259044481</v>
      </c>
      <c r="PQ91" s="41"/>
      <c r="PR91" s="302"/>
    </row>
    <row r="92" spans="1:434" s="1" customFormat="1" ht="15" customHeight="1" x14ac:dyDescent="0.45">
      <c r="A92" s="18">
        <v>44835</v>
      </c>
      <c r="B92" s="29"/>
      <c r="C92" s="4">
        <v>9848</v>
      </c>
      <c r="D92" s="10"/>
      <c r="E92" s="10"/>
      <c r="F92" s="10"/>
      <c r="G92" s="4"/>
      <c r="H92" s="4"/>
      <c r="I92" s="4">
        <v>17118</v>
      </c>
      <c r="J92" s="4"/>
      <c r="K92" s="4">
        <v>15694</v>
      </c>
      <c r="L92" s="4">
        <v>16720</v>
      </c>
      <c r="M92" s="4">
        <v>18632</v>
      </c>
      <c r="N92" s="4"/>
      <c r="O92" s="10"/>
      <c r="P92" s="4">
        <v>69748</v>
      </c>
      <c r="Q92" s="4"/>
      <c r="R92" s="4"/>
      <c r="S92" s="4"/>
      <c r="T92" s="4"/>
      <c r="U92" s="10"/>
      <c r="V92" s="10"/>
      <c r="W92" s="10"/>
      <c r="X92" s="4"/>
      <c r="Y92" s="18" t="str">
        <f t="shared" si="64"/>
        <v/>
      </c>
      <c r="Z92" s="4"/>
      <c r="AA92" s="77">
        <f t="shared" si="78"/>
        <v>-7.7595355515325551E-2</v>
      </c>
      <c r="AB92" s="8">
        <f t="shared" si="60"/>
        <v>147760</v>
      </c>
      <c r="AC92" s="2"/>
      <c r="AD92" s="29"/>
      <c r="AE92" s="4">
        <v>14853</v>
      </c>
      <c r="AF92" s="4">
        <f>29970+29339+24384+24882</f>
        <v>108575</v>
      </c>
      <c r="AG92" s="4"/>
      <c r="AH92" s="4"/>
      <c r="AI92" s="1">
        <v>8724</v>
      </c>
      <c r="AJ92" s="4"/>
      <c r="AK92" s="4"/>
      <c r="AL92" s="4">
        <v>23561</v>
      </c>
      <c r="AM92" s="4"/>
      <c r="AN92" s="1">
        <v>5865</v>
      </c>
      <c r="AO92" s="4"/>
      <c r="AP92" s="10"/>
      <c r="AQ92" s="4"/>
      <c r="AR92" s="4"/>
      <c r="AS92" s="4"/>
      <c r="AT92" s="4">
        <v>77165</v>
      </c>
      <c r="AU92" s="4"/>
      <c r="AW92" s="4"/>
      <c r="AX92" s="4"/>
      <c r="AY92" s="4"/>
      <c r="AZ92" s="4"/>
      <c r="BA92" s="4"/>
      <c r="BB92" s="4"/>
      <c r="BC92" s="4"/>
      <c r="BD92" s="4"/>
      <c r="BE92" s="4">
        <v>15304</v>
      </c>
      <c r="BF92" s="4"/>
      <c r="BG92" s="1">
        <v>5964</v>
      </c>
      <c r="BH92" s="4"/>
      <c r="BI92" s="4"/>
      <c r="BJ92" s="4">
        <v>20696</v>
      </c>
      <c r="BK92" s="4"/>
      <c r="BL92" s="4"/>
      <c r="BM92" s="4"/>
      <c r="BN92" s="4"/>
      <c r="BO92" s="4"/>
      <c r="BP92" s="4"/>
      <c r="BQ92" s="4"/>
      <c r="BR92" s="1">
        <v>8683</v>
      </c>
      <c r="BS92" s="10"/>
      <c r="BT92" s="4"/>
      <c r="BU92" s="4"/>
      <c r="BV92" s="4"/>
      <c r="BW92" s="4"/>
      <c r="BX92" s="1">
        <v>3936</v>
      </c>
      <c r="BY92" s="1">
        <v>8206</v>
      </c>
      <c r="BZ92" s="1">
        <v>6338</v>
      </c>
      <c r="CA92" s="4"/>
      <c r="CB92" s="4"/>
      <c r="CC92" s="4"/>
      <c r="CD92" s="4"/>
      <c r="CE92" s="4"/>
      <c r="CF92" s="4">
        <v>31489</v>
      </c>
      <c r="CG92" s="4"/>
      <c r="CH92" s="4">
        <v>25252</v>
      </c>
      <c r="CI92" s="4"/>
      <c r="CJ92" s="10"/>
      <c r="CK92" s="4"/>
      <c r="CL92" s="10"/>
      <c r="CM92" s="1">
        <v>8181</v>
      </c>
      <c r="CN92" s="4"/>
      <c r="CO92" s="10"/>
      <c r="CP92" s="4"/>
      <c r="CQ92" s="4">
        <v>12026</v>
      </c>
      <c r="CR92" s="10"/>
      <c r="CS92" s="4"/>
      <c r="CT92" s="4"/>
      <c r="CU92" s="4">
        <v>6020</v>
      </c>
      <c r="CV92" s="4">
        <v>24032</v>
      </c>
      <c r="CW92" s="4"/>
      <c r="CX92" s="4"/>
      <c r="CY92" s="77">
        <f t="shared" si="76"/>
        <v>-7.1540628909423351E-2</v>
      </c>
      <c r="CZ92" s="8">
        <f t="shared" si="61"/>
        <v>414870</v>
      </c>
      <c r="DA92" s="2"/>
      <c r="DD92" s="1">
        <v>15861</v>
      </c>
      <c r="DF92" s="1">
        <v>9253</v>
      </c>
      <c r="DH92" s="4"/>
      <c r="DJ92" s="4"/>
      <c r="DL92" s="1">
        <v>15020</v>
      </c>
      <c r="DM92" s="1">
        <v>20561</v>
      </c>
      <c r="DN92" s="1">
        <v>14455</v>
      </c>
      <c r="DP92" s="1">
        <v>22064</v>
      </c>
      <c r="DQ92" s="1">
        <v>14417</v>
      </c>
      <c r="DR92" s="1">
        <v>15094</v>
      </c>
      <c r="DS92" s="1">
        <v>10943</v>
      </c>
      <c r="DU92" s="1">
        <v>12974</v>
      </c>
      <c r="DX92" s="2"/>
      <c r="DY92" s="32"/>
      <c r="DZ92" s="4">
        <v>683</v>
      </c>
      <c r="EA92" s="32"/>
      <c r="EB92" s="32"/>
      <c r="EC92" s="32"/>
      <c r="ED92" s="32"/>
      <c r="EE92" s="4">
        <v>11796</v>
      </c>
      <c r="EF92" s="4">
        <v>12788</v>
      </c>
      <c r="EG92" s="32"/>
      <c r="EH92" s="32"/>
      <c r="EI92" s="32"/>
      <c r="EJ92" s="32"/>
      <c r="EK92" s="5"/>
      <c r="EO92" s="2"/>
      <c r="EQ92" s="468" t="s">
        <v>1</v>
      </c>
      <c r="ER92"/>
      <c r="ES92" s="29"/>
      <c r="ET92" s="10"/>
      <c r="EU92" s="10"/>
      <c r="EV92" s="10"/>
      <c r="EW92" s="10"/>
      <c r="EX92" s="4">
        <v>3178</v>
      </c>
      <c r="EY92" s="4"/>
      <c r="EZ92" s="4"/>
      <c r="FA92" s="4"/>
      <c r="FB92" s="4"/>
      <c r="FC92" s="4">
        <v>11300</v>
      </c>
      <c r="FD92" s="4"/>
      <c r="FE92" s="4"/>
      <c r="FF92" s="4"/>
      <c r="FG92" s="4"/>
      <c r="FH92" s="10"/>
      <c r="FI92" s="10"/>
      <c r="FJ92" s="10"/>
      <c r="FK92" s="10"/>
      <c r="FL92" s="10"/>
      <c r="FM92" s="10"/>
      <c r="FN92" s="4">
        <v>9433</v>
      </c>
      <c r="FO92" s="4"/>
      <c r="FP92" s="10"/>
      <c r="FQ92" s="4"/>
      <c r="FR92" s="4"/>
      <c r="FS92" s="10"/>
      <c r="FT92" s="4">
        <v>17118</v>
      </c>
      <c r="FU92" s="4"/>
      <c r="FV92" s="4">
        <v>16445</v>
      </c>
      <c r="FW92" s="4">
        <v>15694</v>
      </c>
      <c r="FX92" s="4">
        <v>5353</v>
      </c>
      <c r="FY92" s="4">
        <v>16720</v>
      </c>
      <c r="FZ92" s="10"/>
      <c r="GA92" s="10"/>
      <c r="GB92" s="10"/>
      <c r="GC92" s="10"/>
      <c r="GD92" s="4">
        <v>18632</v>
      </c>
      <c r="GE92" s="4">
        <v>16319</v>
      </c>
      <c r="GF92" s="4"/>
      <c r="GG92" s="4"/>
      <c r="GH92" s="4"/>
      <c r="GI92" s="4"/>
      <c r="GJ92" s="4">
        <v>18677</v>
      </c>
      <c r="GK92" s="4"/>
      <c r="GL92" s="4"/>
      <c r="GM92" s="4"/>
      <c r="GN92" s="10"/>
      <c r="GO92" s="10"/>
      <c r="GP92" s="4"/>
      <c r="GQ92" s="10"/>
      <c r="GR92" s="4">
        <v>17534</v>
      </c>
      <c r="GS92" s="10"/>
      <c r="GT92" s="4"/>
      <c r="GU92" s="10"/>
      <c r="GV92" s="4"/>
      <c r="GW92" s="10">
        <v>12772</v>
      </c>
      <c r="GX92" s="10"/>
      <c r="GY92" s="10"/>
      <c r="GZ92" s="10"/>
      <c r="HA92" s="18"/>
      <c r="HB92" s="4"/>
      <c r="HC92" s="77">
        <f t="shared" si="79"/>
        <v>-0.13171055564709189</v>
      </c>
      <c r="HD92" s="8">
        <f t="shared" si="51"/>
        <v>179175</v>
      </c>
      <c r="HE92" s="2"/>
      <c r="HF92" s="29"/>
      <c r="HG92" s="4">
        <f>12401+408</f>
        <v>12809</v>
      </c>
      <c r="HH92" s="4"/>
      <c r="HI92" s="4">
        <v>20132</v>
      </c>
      <c r="HJ92" s="4"/>
      <c r="HK92" s="4"/>
      <c r="HL92" s="4"/>
      <c r="HM92" s="4"/>
      <c r="HN92" s="4">
        <v>23561</v>
      </c>
      <c r="HO92" s="4"/>
      <c r="HP92" s="4"/>
      <c r="HQ92" s="4">
        <v>23300</v>
      </c>
      <c r="HR92" s="4">
        <v>19260</v>
      </c>
      <c r="HS92" s="4"/>
      <c r="HT92" s="10"/>
      <c r="HU92" s="10"/>
      <c r="HV92" s="4"/>
      <c r="HW92" s="4"/>
      <c r="HX92" s="4"/>
      <c r="HY92" s="4"/>
      <c r="HZ92" s="4">
        <v>17200</v>
      </c>
      <c r="IA92" s="4">
        <v>12924</v>
      </c>
      <c r="IB92" s="4"/>
      <c r="IC92" s="4">
        <v>16474</v>
      </c>
      <c r="ID92" s="10"/>
      <c r="IE92" s="4">
        <v>20249</v>
      </c>
      <c r="IF92" s="10"/>
      <c r="IG92" s="4"/>
      <c r="IH92" s="4">
        <v>16960</v>
      </c>
      <c r="II92" s="4"/>
      <c r="IJ92" s="4"/>
      <c r="IK92" s="4"/>
      <c r="IL92" s="4"/>
      <c r="IM92" s="4">
        <v>15304</v>
      </c>
      <c r="IN92" s="4"/>
      <c r="IO92" s="4"/>
      <c r="IP92" s="4">
        <v>20696</v>
      </c>
      <c r="IQ92" s="4"/>
      <c r="IR92" s="4"/>
      <c r="IS92" s="4"/>
      <c r="IT92" s="10"/>
      <c r="IU92" s="4"/>
      <c r="IV92" s="4"/>
      <c r="IW92" s="4"/>
      <c r="IX92" s="10"/>
      <c r="IY92" s="4"/>
      <c r="IZ92" s="4">
        <v>21008</v>
      </c>
      <c r="JA92" s="4"/>
      <c r="JB92" s="4"/>
      <c r="JC92" s="4"/>
      <c r="JD92" s="4"/>
      <c r="JE92" s="4"/>
      <c r="JF92" s="10"/>
      <c r="JG92" s="10"/>
      <c r="JH92" s="10"/>
      <c r="JI92" s="4"/>
      <c r="JJ92" s="4"/>
      <c r="JK92" s="4">
        <v>15470</v>
      </c>
      <c r="JL92" s="4"/>
      <c r="JM92" s="4"/>
      <c r="JN92" s="10">
        <v>14546</v>
      </c>
      <c r="JO92" s="10"/>
      <c r="JP92" s="4"/>
      <c r="JQ92" s="4"/>
      <c r="JR92" s="4"/>
      <c r="JS92" s="4">
        <v>13943</v>
      </c>
      <c r="JT92" s="4">
        <v>23172</v>
      </c>
      <c r="JU92" s="10"/>
      <c r="JV92" s="4"/>
      <c r="JW92" s="4"/>
      <c r="JX92" s="4">
        <v>25252</v>
      </c>
      <c r="JY92" s="4"/>
      <c r="JZ92" s="4">
        <v>14539</v>
      </c>
      <c r="KA92" s="4"/>
      <c r="KB92" s="4"/>
      <c r="KC92" s="4">
        <v>15100</v>
      </c>
      <c r="KD92" s="10"/>
      <c r="KE92" s="10"/>
      <c r="KF92" s="10"/>
      <c r="KG92" s="4"/>
      <c r="KH92" s="10"/>
      <c r="KI92" s="10"/>
      <c r="KJ92" s="10"/>
      <c r="KK92" s="10"/>
      <c r="KL92" s="4">
        <v>12026</v>
      </c>
      <c r="KM92" s="10"/>
      <c r="KN92" s="4"/>
      <c r="KO92" s="4"/>
      <c r="KP92" s="4">
        <v>6020</v>
      </c>
      <c r="KQ92" s="4">
        <v>24032</v>
      </c>
      <c r="KR92" s="10"/>
      <c r="KS92" s="4">
        <v>20493</v>
      </c>
      <c r="KT92" s="4">
        <v>17462</v>
      </c>
      <c r="KU92" s="4"/>
      <c r="KV92" s="4">
        <v>18398</v>
      </c>
      <c r="KW92" s="4"/>
      <c r="KX92" s="18"/>
      <c r="KY92" s="4"/>
      <c r="KZ92" s="77">
        <f t="shared" si="80"/>
        <v>-0.10834897446476338</v>
      </c>
      <c r="LA92" s="8">
        <f t="shared" si="62"/>
        <v>460330</v>
      </c>
      <c r="LB92" s="2"/>
      <c r="LC92" s="159"/>
      <c r="LD92" s="1">
        <f>2748+124</f>
        <v>2872</v>
      </c>
      <c r="LF92" s="1">
        <v>8724</v>
      </c>
      <c r="LG92" s="1">
        <v>15861</v>
      </c>
      <c r="LI92" s="1">
        <v>5865</v>
      </c>
      <c r="LJ92" s="1">
        <v>2109</v>
      </c>
      <c r="LM92" s="1">
        <v>9253</v>
      </c>
      <c r="LQ92" s="1">
        <v>6712</v>
      </c>
      <c r="LU92" s="1">
        <v>8312</v>
      </c>
      <c r="LY92" s="1">
        <v>5964</v>
      </c>
      <c r="MD92" s="1">
        <v>15020</v>
      </c>
      <c r="ME92" s="1">
        <v>8683</v>
      </c>
      <c r="MI92" s="1">
        <v>20561</v>
      </c>
      <c r="ML92" s="1">
        <v>5984</v>
      </c>
      <c r="MM92" s="1">
        <v>3936</v>
      </c>
      <c r="MN92" s="1">
        <v>8206</v>
      </c>
      <c r="MO92" s="172">
        <v>5811</v>
      </c>
      <c r="MQ92" s="1">
        <v>6338</v>
      </c>
      <c r="MT92" s="1">
        <v>14455</v>
      </c>
      <c r="MV92" s="1">
        <v>22064</v>
      </c>
      <c r="MW92" s="1">
        <v>7948</v>
      </c>
      <c r="MX92" s="1">
        <v>14417</v>
      </c>
      <c r="NC92" s="1">
        <v>15094</v>
      </c>
      <c r="ND92" s="1">
        <v>10943</v>
      </c>
      <c r="NF92" s="1">
        <v>12974</v>
      </c>
      <c r="NG92" s="1">
        <v>8181</v>
      </c>
      <c r="NH92" s="1">
        <v>4409</v>
      </c>
      <c r="NI92" s="1">
        <v>14659</v>
      </c>
      <c r="NK92" s="1">
        <v>6834.6</v>
      </c>
      <c r="NM92" s="1">
        <v>6020</v>
      </c>
      <c r="NN92" s="1">
        <v>9613</v>
      </c>
      <c r="NO92" s="77"/>
      <c r="NP92" s="160"/>
      <c r="NQ92" s="32"/>
      <c r="NR92" s="77">
        <f t="shared" si="81"/>
        <v>-6.9381565631254499E-2</v>
      </c>
      <c r="NS92" s="8">
        <f t="shared" si="84"/>
        <v>287822.59999999998</v>
      </c>
      <c r="NT92" s="2"/>
      <c r="NU92" s="4"/>
      <c r="NV92" s="4">
        <v>683</v>
      </c>
      <c r="NW92" s="4"/>
      <c r="NX92" s="4"/>
      <c r="NY92" s="4"/>
      <c r="NZ92" s="4"/>
      <c r="OA92" s="4">
        <v>11796</v>
      </c>
      <c r="OB92" s="4">
        <v>12788</v>
      </c>
      <c r="OC92" s="4"/>
      <c r="OD92" s="4"/>
      <c r="OE92" s="77">
        <f t="shared" si="82"/>
        <v>-5.6884774737785075E-2</v>
      </c>
      <c r="OF92" s="8">
        <f t="shared" si="71"/>
        <v>25267</v>
      </c>
      <c r="OG92" s="2"/>
      <c r="OI92" s="1">
        <v>82</v>
      </c>
      <c r="OP92" s="1">
        <v>28806</v>
      </c>
      <c r="OR92" s="77">
        <f t="shared" si="83"/>
        <v>-1.7481803958914358E-2</v>
      </c>
      <c r="OS92" s="8">
        <f t="shared" si="85"/>
        <v>28888</v>
      </c>
      <c r="OT92" s="37"/>
      <c r="OU92" s="126">
        <f t="shared" si="65"/>
        <v>591518</v>
      </c>
      <c r="OV92" s="71">
        <f t="shared" si="73"/>
        <v>-7.0567180313907754E-2</v>
      </c>
      <c r="OW92" s="139">
        <f>IF(A92="","",SUM(Z$17:Z92))</f>
        <v>20000</v>
      </c>
      <c r="OX92" s="139">
        <f t="shared" si="52"/>
        <v>607897</v>
      </c>
      <c r="OY92" s="132">
        <f t="shared" si="53"/>
        <v>-0.14811326968324903</v>
      </c>
      <c r="OZ92" s="140">
        <f t="shared" si="66"/>
        <v>952594.6</v>
      </c>
      <c r="PA92" s="84">
        <f t="shared" si="77"/>
        <v>-0.10021639889939768</v>
      </c>
      <c r="PB92" s="130">
        <f>IF(A92="","",SUM(HB$17:HB92)+SUM(KY$17:KY92))</f>
        <v>115756.47</v>
      </c>
      <c r="PC92" s="131">
        <f t="shared" si="54"/>
        <v>755261.47</v>
      </c>
      <c r="PD92" s="132">
        <f t="shared" si="55"/>
        <v>0.14343294157188033</v>
      </c>
      <c r="PE92" s="133">
        <f t="shared" si="67"/>
        <v>639505</v>
      </c>
      <c r="PF92" s="84">
        <f t="shared" si="69"/>
        <v>-0.11502018347100347</v>
      </c>
      <c r="PG92" s="133">
        <f t="shared" si="68"/>
        <v>904607.6</v>
      </c>
      <c r="PH92" s="84">
        <f t="shared" si="70"/>
        <v>-6.9813192994146039E-2</v>
      </c>
      <c r="PI92" s="135">
        <f t="shared" si="56"/>
        <v>1544112.6</v>
      </c>
      <c r="PJ92" s="136">
        <f t="shared" si="74"/>
        <v>-8.9084679450800536E-2</v>
      </c>
      <c r="PK92" s="123">
        <f t="shared" si="72"/>
        <v>-0.17518937758565484</v>
      </c>
      <c r="PL92" s="137">
        <f t="shared" si="57"/>
        <v>135756.47</v>
      </c>
      <c r="PM92" s="9">
        <f t="shared" si="58"/>
        <v>1363158.47</v>
      </c>
      <c r="PN92" s="138">
        <f t="shared" si="59"/>
        <v>-7.9699077948636055E-3</v>
      </c>
      <c r="PO92" s="86">
        <f>IF(PI92="","",MAX(PI$15:PI92))</f>
        <v>1940884.25</v>
      </c>
      <c r="PP92" s="113">
        <f t="shared" si="75"/>
        <v>-0.25695771797989336</v>
      </c>
      <c r="PQ92" s="33"/>
      <c r="PR92" s="302"/>
    </row>
    <row r="93" spans="1:434" s="1" customFormat="1" ht="15" customHeight="1" x14ac:dyDescent="0.45">
      <c r="A93" s="18">
        <v>44867</v>
      </c>
      <c r="B93" s="3"/>
      <c r="C93" s="4">
        <v>9869</v>
      </c>
      <c r="D93" s="10"/>
      <c r="E93" s="10"/>
      <c r="F93" s="10"/>
      <c r="G93" s="4"/>
      <c r="H93" s="4"/>
      <c r="I93" s="4">
        <v>18268</v>
      </c>
      <c r="J93" s="4"/>
      <c r="K93" s="4">
        <v>17696</v>
      </c>
      <c r="L93" s="4">
        <v>20504</v>
      </c>
      <c r="M93" s="4">
        <v>18254</v>
      </c>
      <c r="N93" s="4"/>
      <c r="O93" s="10"/>
      <c r="P93" s="4">
        <v>68771</v>
      </c>
      <c r="Q93" s="4"/>
      <c r="R93" s="4"/>
      <c r="S93" s="4"/>
      <c r="T93" s="4"/>
      <c r="U93" s="10"/>
      <c r="V93" s="10"/>
      <c r="W93" s="10"/>
      <c r="X93" s="4"/>
      <c r="Y93" s="18" t="str">
        <f t="shared" si="64"/>
        <v/>
      </c>
      <c r="Z93" s="4"/>
      <c r="AA93" s="77">
        <f t="shared" si="78"/>
        <v>3.7912831618841361E-2</v>
      </c>
      <c r="AB93" s="8">
        <f t="shared" si="60"/>
        <v>153362</v>
      </c>
      <c r="AC93" s="2"/>
      <c r="AD93" s="3"/>
      <c r="AE93" s="4">
        <v>6300</v>
      </c>
      <c r="AF93" s="4">
        <f>29212+24232+24770</f>
        <v>78214</v>
      </c>
      <c r="AG93" s="4"/>
      <c r="AH93" s="4"/>
      <c r="AI93" s="1">
        <v>9549</v>
      </c>
      <c r="AJ93" s="4"/>
      <c r="AK93" s="4"/>
      <c r="AL93" s="4">
        <v>22815</v>
      </c>
      <c r="AM93" s="4"/>
      <c r="AN93" s="1">
        <v>5844</v>
      </c>
      <c r="AO93" s="4"/>
      <c r="AP93" s="10"/>
      <c r="AQ93" s="4"/>
      <c r="AR93" s="4"/>
      <c r="AS93" s="4"/>
      <c r="AT93" s="4">
        <v>92483</v>
      </c>
      <c r="AU93" s="4"/>
      <c r="AW93" s="4"/>
      <c r="AX93" s="4"/>
      <c r="AY93" s="4"/>
      <c r="AZ93" s="4"/>
      <c r="BA93" s="4"/>
      <c r="BB93" s="4"/>
      <c r="BC93" s="4"/>
      <c r="BD93" s="4"/>
      <c r="BE93" s="4">
        <v>14475</v>
      </c>
      <c r="BF93" s="4"/>
      <c r="BG93" s="1">
        <v>5571</v>
      </c>
      <c r="BH93" s="4"/>
      <c r="BI93" s="4"/>
      <c r="BJ93" s="4">
        <v>22205</v>
      </c>
      <c r="BK93" s="4"/>
      <c r="BL93" s="4"/>
      <c r="BM93" s="4"/>
      <c r="BN93" s="4"/>
      <c r="BO93" s="4"/>
      <c r="BP93" s="4"/>
      <c r="BQ93" s="4"/>
      <c r="BR93" s="1">
        <v>9244</v>
      </c>
      <c r="BS93" s="10"/>
      <c r="BT93" s="4"/>
      <c r="BU93" s="4"/>
      <c r="BV93" s="4"/>
      <c r="BW93" s="4"/>
      <c r="BX93" s="1">
        <v>3943</v>
      </c>
      <c r="BY93" s="1">
        <v>8767</v>
      </c>
      <c r="BZ93" s="1">
        <v>6643</v>
      </c>
      <c r="CA93" s="4"/>
      <c r="CB93" s="4"/>
      <c r="CC93" s="4"/>
      <c r="CD93" s="4"/>
      <c r="CE93" s="4"/>
      <c r="CF93" s="4">
        <v>79689</v>
      </c>
      <c r="CG93" s="4"/>
      <c r="CH93" s="4">
        <v>27366</v>
      </c>
      <c r="CI93" s="4"/>
      <c r="CJ93" s="10"/>
      <c r="CK93" s="4"/>
      <c r="CL93" s="10"/>
      <c r="CM93" s="1">
        <v>8753</v>
      </c>
      <c r="CN93" s="4"/>
      <c r="CO93" s="10"/>
      <c r="CP93" s="4"/>
      <c r="CQ93" s="4">
        <v>12443</v>
      </c>
      <c r="CR93" s="10"/>
      <c r="CS93" s="4"/>
      <c r="CT93" s="4"/>
      <c r="CU93" s="4">
        <v>5804</v>
      </c>
      <c r="CV93" s="4">
        <v>23478</v>
      </c>
      <c r="CW93" s="4"/>
      <c r="CX93" s="4"/>
      <c r="CY93" s="77">
        <f t="shared" si="76"/>
        <v>6.9216863113746474E-2</v>
      </c>
      <c r="CZ93" s="8">
        <f t="shared" si="61"/>
        <v>443586</v>
      </c>
      <c r="DA93" s="2"/>
      <c r="DD93" s="1">
        <v>15652</v>
      </c>
      <c r="DE93" s="1">
        <v>14542</v>
      </c>
      <c r="DF93" s="1">
        <v>12296</v>
      </c>
      <c r="DH93" s="4"/>
      <c r="DJ93" s="4"/>
      <c r="DL93" s="1">
        <v>15000</v>
      </c>
      <c r="DM93" s="1">
        <v>20329</v>
      </c>
      <c r="DN93" s="1">
        <v>14406</v>
      </c>
      <c r="DP93" s="1">
        <v>21839</v>
      </c>
      <c r="DQ93" s="1">
        <v>14576</v>
      </c>
      <c r="DR93" s="1">
        <v>15030</v>
      </c>
      <c r="DS93" s="1">
        <v>14396</v>
      </c>
      <c r="DU93" s="1">
        <v>12927</v>
      </c>
      <c r="DX93" s="2"/>
      <c r="DY93" s="32"/>
      <c r="DZ93" s="4">
        <v>710</v>
      </c>
      <c r="EA93" s="32"/>
      <c r="EB93" s="32"/>
      <c r="EC93" s="32"/>
      <c r="ED93" s="32"/>
      <c r="EE93" s="4">
        <v>11728</v>
      </c>
      <c r="EF93" s="4">
        <v>12724</v>
      </c>
      <c r="EG93" s="32"/>
      <c r="EH93" s="32"/>
      <c r="EI93" s="32"/>
      <c r="EJ93" s="32"/>
      <c r="EK93" s="5"/>
      <c r="EO93" s="2"/>
      <c r="EQ93" s="468" t="s">
        <v>1</v>
      </c>
      <c r="ER93"/>
      <c r="ES93" s="6"/>
      <c r="ET93" s="10"/>
      <c r="EU93" s="10"/>
      <c r="EV93" s="10"/>
      <c r="EW93" s="10"/>
      <c r="EX93" s="4">
        <v>3183</v>
      </c>
      <c r="EY93" s="4"/>
      <c r="EZ93" s="4"/>
      <c r="FA93" s="4"/>
      <c r="FB93" s="4"/>
      <c r="FC93" s="4">
        <v>9679</v>
      </c>
      <c r="FD93" s="4"/>
      <c r="FE93" s="4"/>
      <c r="FF93" s="4"/>
      <c r="FG93" s="4"/>
      <c r="FH93" s="10"/>
      <c r="FI93" s="10"/>
      <c r="FJ93" s="10"/>
      <c r="FK93" s="10"/>
      <c r="FL93" s="10"/>
      <c r="FM93" s="10"/>
      <c r="FN93" s="4">
        <v>10600</v>
      </c>
      <c r="FO93" s="4"/>
      <c r="FP93" s="10"/>
      <c r="FQ93" s="4"/>
      <c r="FR93" s="4"/>
      <c r="FS93" s="10"/>
      <c r="FT93" s="4">
        <v>18268</v>
      </c>
      <c r="FU93" s="4"/>
      <c r="FV93" s="4">
        <v>18257</v>
      </c>
      <c r="FW93" s="4">
        <v>17696</v>
      </c>
      <c r="FX93" s="4">
        <v>5619</v>
      </c>
      <c r="FY93" s="4">
        <v>20504</v>
      </c>
      <c r="FZ93" s="10"/>
      <c r="GA93" s="10"/>
      <c r="GB93" s="10"/>
      <c r="GC93" s="10"/>
      <c r="GD93" s="4">
        <v>18254</v>
      </c>
      <c r="GE93" s="4">
        <v>16274</v>
      </c>
      <c r="GF93" s="4"/>
      <c r="GG93" s="4"/>
      <c r="GH93" s="4"/>
      <c r="GI93" s="4"/>
      <c r="GJ93" s="4">
        <v>20637</v>
      </c>
      <c r="GK93" s="4"/>
      <c r="GL93" s="4"/>
      <c r="GM93" s="4"/>
      <c r="GN93" s="10"/>
      <c r="GO93" s="10"/>
      <c r="GP93" s="4"/>
      <c r="GQ93" s="10"/>
      <c r="GR93" s="4">
        <v>17714</v>
      </c>
      <c r="GS93" s="10"/>
      <c r="GT93" s="4"/>
      <c r="GU93" s="10"/>
      <c r="GV93" s="4"/>
      <c r="GW93" s="10">
        <v>12614</v>
      </c>
      <c r="GX93" s="10"/>
      <c r="GY93" s="10"/>
      <c r="GZ93" s="10"/>
      <c r="HA93" s="18"/>
      <c r="HB93" s="4"/>
      <c r="HC93" s="77">
        <f t="shared" si="79"/>
        <v>5.6503418445653687E-2</v>
      </c>
      <c r="HD93" s="8">
        <f t="shared" si="51"/>
        <v>189299</v>
      </c>
      <c r="HE93" s="2"/>
      <c r="HF93" s="3"/>
      <c r="HG93" s="4">
        <v>12387</v>
      </c>
      <c r="HH93" s="4"/>
      <c r="HI93" s="4">
        <v>22037</v>
      </c>
      <c r="HJ93" s="4"/>
      <c r="HK93" s="4"/>
      <c r="HL93" s="4"/>
      <c r="HM93" s="4"/>
      <c r="HN93" s="4">
        <v>22815</v>
      </c>
      <c r="HO93" s="4"/>
      <c r="HP93" s="4"/>
      <c r="HQ93" s="4">
        <v>23604</v>
      </c>
      <c r="HR93" s="4">
        <v>21115</v>
      </c>
      <c r="HS93" s="4"/>
      <c r="HT93" s="10"/>
      <c r="HU93" s="10"/>
      <c r="HV93" s="4"/>
      <c r="HW93" s="4"/>
      <c r="HX93" s="4"/>
      <c r="HY93" s="4"/>
      <c r="HZ93" s="4">
        <v>19548</v>
      </c>
      <c r="IA93" s="4">
        <v>18759</v>
      </c>
      <c r="IB93" s="4"/>
      <c r="IC93" s="4">
        <v>19275</v>
      </c>
      <c r="ID93" s="10"/>
      <c r="IE93" s="4">
        <v>22097</v>
      </c>
      <c r="IF93" s="10"/>
      <c r="IG93" s="4"/>
      <c r="IH93" s="4">
        <v>11900</v>
      </c>
      <c r="II93" s="4"/>
      <c r="IJ93" s="4"/>
      <c r="IK93" s="4"/>
      <c r="IL93" s="4"/>
      <c r="IM93" s="4">
        <v>14475</v>
      </c>
      <c r="IN93" s="4"/>
      <c r="IO93" s="4"/>
      <c r="IP93" s="4">
        <v>22205</v>
      </c>
      <c r="IQ93" s="4"/>
      <c r="IR93" s="4"/>
      <c r="IS93" s="4"/>
      <c r="IT93" s="10"/>
      <c r="IU93" s="4"/>
      <c r="IV93" s="4"/>
      <c r="IW93" s="4"/>
      <c r="IX93" s="10"/>
      <c r="IY93" s="4"/>
      <c r="IZ93" s="4">
        <v>22365</v>
      </c>
      <c r="JA93" s="4"/>
      <c r="JB93" s="4"/>
      <c r="JC93" s="4"/>
      <c r="JD93" s="4"/>
      <c r="JE93" s="4"/>
      <c r="JF93" s="10"/>
      <c r="JG93" s="10"/>
      <c r="JH93" s="10"/>
      <c r="JI93" s="4"/>
      <c r="JJ93" s="4"/>
      <c r="JK93" s="4">
        <v>17542</v>
      </c>
      <c r="JL93" s="4"/>
      <c r="JM93" s="4"/>
      <c r="JN93" s="10">
        <v>16410</v>
      </c>
      <c r="JO93" s="10"/>
      <c r="JP93" s="4"/>
      <c r="JQ93" s="4"/>
      <c r="JR93" s="4"/>
      <c r="JS93" s="4">
        <v>14614</v>
      </c>
      <c r="JT93" s="4">
        <v>23953</v>
      </c>
      <c r="JU93" s="10"/>
      <c r="JV93" s="4"/>
      <c r="JW93" s="4"/>
      <c r="JX93" s="4">
        <v>27366</v>
      </c>
      <c r="JY93" s="4"/>
      <c r="JZ93" s="4">
        <v>15066</v>
      </c>
      <c r="KA93" s="4"/>
      <c r="KB93" s="4"/>
      <c r="KC93" s="4">
        <v>17589</v>
      </c>
      <c r="KD93" s="10"/>
      <c r="KE93" s="10"/>
      <c r="KF93" s="10"/>
      <c r="KG93" s="4"/>
      <c r="KH93" s="10"/>
      <c r="KI93" s="10"/>
      <c r="KJ93" s="10"/>
      <c r="KK93" s="10"/>
      <c r="KL93" s="4">
        <v>12443</v>
      </c>
      <c r="KM93" s="10"/>
      <c r="KN93" s="4"/>
      <c r="KO93" s="4"/>
      <c r="KP93" s="4">
        <v>5804</v>
      </c>
      <c r="KQ93" s="4">
        <v>23478</v>
      </c>
      <c r="KR93" s="10"/>
      <c r="KS93" s="4">
        <v>22997</v>
      </c>
      <c r="KT93" s="4">
        <v>22382</v>
      </c>
      <c r="KU93" s="4"/>
      <c r="KV93" s="4">
        <v>20723</v>
      </c>
      <c r="KW93" s="4"/>
      <c r="KX93" s="18"/>
      <c r="KY93" s="4"/>
      <c r="KZ93" s="77">
        <f t="shared" si="80"/>
        <v>7.086003519214476E-2</v>
      </c>
      <c r="LA93" s="8">
        <f t="shared" si="62"/>
        <v>492949</v>
      </c>
      <c r="LB93" s="2"/>
      <c r="LC93" s="43"/>
      <c r="LD93" s="1">
        <v>3334</v>
      </c>
      <c r="LF93" s="1">
        <v>9549</v>
      </c>
      <c r="LG93" s="1">
        <v>15652</v>
      </c>
      <c r="LI93" s="1">
        <v>5844</v>
      </c>
      <c r="LJ93" s="1">
        <v>2180</v>
      </c>
      <c r="LL93" s="1">
        <v>14542</v>
      </c>
      <c r="LM93" s="1">
        <v>12296</v>
      </c>
      <c r="LQ93" s="1">
        <v>7853</v>
      </c>
      <c r="LU93" s="1">
        <v>8319</v>
      </c>
      <c r="LY93" s="1">
        <v>5571</v>
      </c>
      <c r="MD93" s="1">
        <v>15000</v>
      </c>
      <c r="ME93" s="1">
        <v>9244</v>
      </c>
      <c r="MI93" s="1">
        <v>20329</v>
      </c>
      <c r="ML93" s="1">
        <v>5967</v>
      </c>
      <c r="MM93" s="1">
        <v>3943</v>
      </c>
      <c r="MN93" s="1">
        <v>8767</v>
      </c>
      <c r="MO93" s="172">
        <v>6420</v>
      </c>
      <c r="MQ93" s="1">
        <v>6643</v>
      </c>
      <c r="MT93" s="1">
        <v>14406</v>
      </c>
      <c r="MV93" s="1">
        <v>21839</v>
      </c>
      <c r="MW93" s="1">
        <v>8168</v>
      </c>
      <c r="MX93" s="1">
        <v>14576</v>
      </c>
      <c r="NC93" s="1">
        <v>15030</v>
      </c>
      <c r="ND93" s="1">
        <v>14396</v>
      </c>
      <c r="NF93" s="1">
        <v>12927</v>
      </c>
      <c r="NG93" s="1">
        <v>8753</v>
      </c>
      <c r="NH93" s="1">
        <v>4562</v>
      </c>
      <c r="NM93" s="1">
        <v>5804</v>
      </c>
      <c r="NN93" s="1">
        <v>9391</v>
      </c>
      <c r="NO93" s="77"/>
      <c r="NP93" s="63"/>
      <c r="NQ93"/>
      <c r="NR93" s="77">
        <f t="shared" si="81"/>
        <v>1.2099119388123183E-2</v>
      </c>
      <c r="NS93" s="8">
        <f t="shared" si="84"/>
        <v>291305</v>
      </c>
      <c r="NT93" s="2"/>
      <c r="NU93" s="7"/>
      <c r="NV93" s="4">
        <v>710</v>
      </c>
      <c r="NW93" s="4"/>
      <c r="NX93" s="4"/>
      <c r="NY93" s="4"/>
      <c r="NZ93" s="4"/>
      <c r="OA93" s="4">
        <v>11728</v>
      </c>
      <c r="OB93" s="4">
        <v>12724</v>
      </c>
      <c r="OC93" s="4"/>
      <c r="OD93" s="4"/>
      <c r="OE93" s="77">
        <f t="shared" si="82"/>
        <v>-4.1556179997625361E-3</v>
      </c>
      <c r="OF93" s="8">
        <f t="shared" si="71"/>
        <v>25162</v>
      </c>
      <c r="OG93" s="2"/>
      <c r="OI93" s="1">
        <v>82</v>
      </c>
      <c r="OJ93" s="40"/>
      <c r="OK93" s="40"/>
      <c r="OL93" s="40"/>
      <c r="OM93" s="40"/>
      <c r="ON93" s="40"/>
      <c r="OO93" s="40"/>
      <c r="OP93" s="1">
        <v>28403</v>
      </c>
      <c r="OQ93" s="40"/>
      <c r="OR93" s="77">
        <f>IF($A93="","",(OS93-OS92)/OS92)</f>
        <v>-1.3950429243976738E-2</v>
      </c>
      <c r="OS93" s="8">
        <f t="shared" si="85"/>
        <v>28485</v>
      </c>
      <c r="OT93" s="37"/>
      <c r="OU93" s="126">
        <f t="shared" si="65"/>
        <v>625433</v>
      </c>
      <c r="OV93" s="71">
        <f t="shared" si="73"/>
        <v>5.7335533322739121E-2</v>
      </c>
      <c r="OW93" s="139">
        <f>IF(A93="","",SUM(Z$17:Z93))</f>
        <v>20000</v>
      </c>
      <c r="OX93" s="139">
        <f t="shared" si="52"/>
        <v>642110</v>
      </c>
      <c r="OY93" s="132">
        <f t="shared" si="53"/>
        <v>-0.10016830416388145</v>
      </c>
      <c r="OZ93" s="140">
        <f t="shared" si="66"/>
        <v>998715</v>
      </c>
      <c r="PA93" s="84">
        <f t="shared" si="77"/>
        <v>4.8415558937663541E-2</v>
      </c>
      <c r="PB93" s="130">
        <f>IF(A93="","",SUM(HB$17:HB93)+SUM(KY$17:KY93))</f>
        <v>115756.47</v>
      </c>
      <c r="PC93" s="131">
        <f t="shared" si="54"/>
        <v>798004.47</v>
      </c>
      <c r="PD93" s="132">
        <f t="shared" si="55"/>
        <v>0.20814398028223172</v>
      </c>
      <c r="PE93" s="133">
        <f t="shared" si="67"/>
        <v>682248</v>
      </c>
      <c r="PF93" s="84">
        <f t="shared" si="69"/>
        <v>6.6837632231178806E-2</v>
      </c>
      <c r="PG93" s="133">
        <f t="shared" si="68"/>
        <v>941900</v>
      </c>
      <c r="PH93" s="84">
        <f t="shared" si="70"/>
        <v>4.1224946595628892E-2</v>
      </c>
      <c r="PI93" s="135">
        <f t="shared" si="56"/>
        <v>1624148</v>
      </c>
      <c r="PJ93" s="136">
        <f t="shared" si="74"/>
        <v>5.18326189424268E-2</v>
      </c>
      <c r="PK93" s="123">
        <f t="shared" si="72"/>
        <v>-0.11767377417809895</v>
      </c>
      <c r="PL93" s="137">
        <f t="shared" si="57"/>
        <v>135756.47</v>
      </c>
      <c r="PM93" s="9">
        <f t="shared" si="58"/>
        <v>1440114.47</v>
      </c>
      <c r="PN93" s="138">
        <f t="shared" si="59"/>
        <v>4.8034342228788066E-2</v>
      </c>
      <c r="PO93" s="86">
        <f>IF(PI93="","",MAX(PI$15:PI93))</f>
        <v>1940884.25</v>
      </c>
      <c r="PP93" s="113">
        <f t="shared" si="75"/>
        <v>-0.19501686422665915</v>
      </c>
      <c r="PQ93" s="41"/>
      <c r="PR93" s="302"/>
    </row>
    <row r="94" spans="1:434" s="1" customFormat="1" ht="15" customHeight="1" x14ac:dyDescent="0.45">
      <c r="A94" s="18">
        <v>44897</v>
      </c>
      <c r="B94" s="3"/>
      <c r="C94" s="4">
        <v>15608</v>
      </c>
      <c r="D94" s="10"/>
      <c r="E94" s="10"/>
      <c r="F94" s="10"/>
      <c r="G94" s="4"/>
      <c r="H94" s="4"/>
      <c r="I94" s="4">
        <v>20688</v>
      </c>
      <c r="J94" s="4"/>
      <c r="K94" s="4">
        <v>18377</v>
      </c>
      <c r="L94" s="4">
        <v>21597</v>
      </c>
      <c r="M94" s="4">
        <v>20326</v>
      </c>
      <c r="N94" s="4"/>
      <c r="O94" s="10"/>
      <c r="P94" s="4">
        <v>68259</v>
      </c>
      <c r="Q94" s="4"/>
      <c r="R94" s="4"/>
      <c r="S94" s="4"/>
      <c r="T94" s="4"/>
      <c r="U94" s="10"/>
      <c r="V94" s="10"/>
      <c r="W94" s="10"/>
      <c r="X94" s="4"/>
      <c r="Y94" s="18" t="str">
        <f t="shared" si="64"/>
        <v/>
      </c>
      <c r="Z94" s="4"/>
      <c r="AA94" s="77">
        <f t="shared" si="78"/>
        <v>7.4940337241298366E-2</v>
      </c>
      <c r="AB94" s="8">
        <f t="shared" si="60"/>
        <v>164855</v>
      </c>
      <c r="AC94" s="2"/>
      <c r="AD94" s="3"/>
      <c r="AE94" s="4">
        <v>6321</v>
      </c>
      <c r="AF94" s="4">
        <f>29560+24565+24892</f>
        <v>79017</v>
      </c>
      <c r="AG94" s="4"/>
      <c r="AH94" s="4"/>
      <c r="AI94" s="1">
        <v>10609</v>
      </c>
      <c r="AJ94" s="4"/>
      <c r="AK94" s="4"/>
      <c r="AL94" s="4">
        <v>23127</v>
      </c>
      <c r="AM94" s="4"/>
      <c r="AN94" s="1">
        <v>6149</v>
      </c>
      <c r="AO94" s="4"/>
      <c r="AP94" s="10"/>
      <c r="AQ94" s="4"/>
      <c r="AR94" s="4"/>
      <c r="AS94" s="4"/>
      <c r="AT94" s="4">
        <v>97889</v>
      </c>
      <c r="AU94" s="4"/>
      <c r="AW94" s="4"/>
      <c r="AX94" s="4"/>
      <c r="AY94" s="4"/>
      <c r="AZ94" s="4"/>
      <c r="BA94" s="4"/>
      <c r="BB94" s="4"/>
      <c r="BC94" s="4"/>
      <c r="BD94" s="4"/>
      <c r="BE94" s="4">
        <v>16024</v>
      </c>
      <c r="BF94" s="4"/>
      <c r="BG94" s="1">
        <v>5778</v>
      </c>
      <c r="BH94" s="4"/>
      <c r="BI94" s="4"/>
      <c r="BJ94" s="4">
        <v>24548</v>
      </c>
      <c r="BK94" s="4"/>
      <c r="BL94" s="4"/>
      <c r="BM94" s="4"/>
      <c r="BN94" s="4"/>
      <c r="BO94" s="4"/>
      <c r="BP94" s="4"/>
      <c r="BQ94" s="4"/>
      <c r="BR94" s="1">
        <v>9967</v>
      </c>
      <c r="BS94" s="10"/>
      <c r="BT94" s="4"/>
      <c r="BU94" s="4"/>
      <c r="BV94" s="4"/>
      <c r="BW94" s="4"/>
      <c r="BX94" s="1">
        <v>4250</v>
      </c>
      <c r="BY94" s="1">
        <v>9777</v>
      </c>
      <c r="BZ94" s="1">
        <v>7281</v>
      </c>
      <c r="CA94" s="4"/>
      <c r="CB94" s="4"/>
      <c r="CC94" s="4"/>
      <c r="CD94" s="4"/>
      <c r="CE94" s="4"/>
      <c r="CF94" s="4">
        <v>81828</v>
      </c>
      <c r="CG94" s="4"/>
      <c r="CH94" s="4">
        <v>26787</v>
      </c>
      <c r="CI94" s="4"/>
      <c r="CJ94" s="10"/>
      <c r="CK94" s="4"/>
      <c r="CL94" s="10"/>
      <c r="CM94" s="1">
        <v>9846</v>
      </c>
      <c r="CN94" s="4"/>
      <c r="CO94" s="10"/>
      <c r="CP94" s="4"/>
      <c r="CQ94" s="4">
        <v>13140</v>
      </c>
      <c r="CR94" s="10"/>
      <c r="CS94" s="4"/>
      <c r="CT94" s="4"/>
      <c r="CU94" s="4">
        <v>6060</v>
      </c>
      <c r="CV94" s="4">
        <v>25416</v>
      </c>
      <c r="CW94" s="4"/>
      <c r="CX94" s="4"/>
      <c r="CY94" s="77">
        <f t="shared" si="76"/>
        <v>4.5601078483090085E-2</v>
      </c>
      <c r="CZ94" s="8">
        <f t="shared" si="61"/>
        <v>463814</v>
      </c>
      <c r="DA94" s="2"/>
      <c r="DD94" s="1">
        <v>16364</v>
      </c>
      <c r="DE94" s="1">
        <v>15197</v>
      </c>
      <c r="DF94" s="1">
        <v>12851</v>
      </c>
      <c r="DH94" s="4"/>
      <c r="DJ94" s="4"/>
      <c r="DL94" s="1">
        <v>15045</v>
      </c>
      <c r="DM94" s="1">
        <v>21302</v>
      </c>
      <c r="DN94" s="1">
        <v>14514</v>
      </c>
      <c r="DP94" s="1">
        <v>22536</v>
      </c>
      <c r="DQ94" s="1">
        <v>14716</v>
      </c>
      <c r="DR94" s="1">
        <v>15851</v>
      </c>
      <c r="DS94" s="1">
        <v>16028</v>
      </c>
      <c r="DU94" s="1">
        <v>13235</v>
      </c>
      <c r="DX94" s="2"/>
      <c r="DY94" s="32"/>
      <c r="DZ94" s="4">
        <v>671</v>
      </c>
      <c r="EA94" s="32"/>
      <c r="EB94" s="32"/>
      <c r="EC94" s="32"/>
      <c r="ED94" s="32"/>
      <c r="EE94" s="4">
        <v>12399</v>
      </c>
      <c r="EF94" s="4">
        <v>12019</v>
      </c>
      <c r="EG94" s="32"/>
      <c r="EH94" s="32"/>
      <c r="EI94" s="32"/>
      <c r="EJ94" s="32"/>
      <c r="EK94" s="5"/>
      <c r="EO94" s="2"/>
      <c r="EQ94" s="468" t="s">
        <v>1</v>
      </c>
      <c r="ER94"/>
      <c r="ES94" s="6"/>
      <c r="ET94" s="10"/>
      <c r="EU94" s="10"/>
      <c r="EV94" s="10"/>
      <c r="EW94" s="10"/>
      <c r="EX94" s="4">
        <v>5131</v>
      </c>
      <c r="EY94" s="4"/>
      <c r="EZ94" s="4"/>
      <c r="FA94" s="4"/>
      <c r="FB94" s="4"/>
      <c r="FC94" s="4">
        <v>9402</v>
      </c>
      <c r="FD94" s="4"/>
      <c r="FE94" s="4"/>
      <c r="FF94" s="4"/>
      <c r="FG94" s="4"/>
      <c r="FH94" s="10"/>
      <c r="FI94" s="10"/>
      <c r="FJ94" s="10"/>
      <c r="FK94" s="10"/>
      <c r="FL94" s="10"/>
      <c r="FM94" s="10"/>
      <c r="FN94" s="4">
        <v>9913</v>
      </c>
      <c r="FO94" s="4"/>
      <c r="FP94" s="10"/>
      <c r="FQ94" s="4"/>
      <c r="FR94" s="4"/>
      <c r="FS94" s="10"/>
      <c r="FT94" s="4">
        <v>20688</v>
      </c>
      <c r="FU94" s="4"/>
      <c r="FV94" s="4">
        <v>19265</v>
      </c>
      <c r="FW94" s="4">
        <v>18377</v>
      </c>
      <c r="FX94" s="4">
        <v>6318</v>
      </c>
      <c r="FY94" s="4">
        <v>21597</v>
      </c>
      <c r="FZ94" s="10"/>
      <c r="GA94" s="10"/>
      <c r="GB94" s="10"/>
      <c r="GC94" s="10"/>
      <c r="GD94" s="4">
        <v>20326</v>
      </c>
      <c r="GE94" s="4">
        <v>18066</v>
      </c>
      <c r="GF94" s="4"/>
      <c r="GG94" s="4"/>
      <c r="GH94" s="4"/>
      <c r="GI94" s="4"/>
      <c r="GJ94" s="4">
        <v>23392</v>
      </c>
      <c r="GK94" s="4"/>
      <c r="GL94" s="4"/>
      <c r="GM94" s="4">
        <v>28842</v>
      </c>
      <c r="GN94" s="10"/>
      <c r="GO94" s="10"/>
      <c r="GP94" s="4"/>
      <c r="GQ94" s="10"/>
      <c r="GR94" s="4">
        <v>19304</v>
      </c>
      <c r="GS94" s="10"/>
      <c r="GT94" s="4"/>
      <c r="GU94" s="10"/>
      <c r="GV94" s="4"/>
      <c r="GW94" s="10">
        <v>14240</v>
      </c>
      <c r="GX94" s="10"/>
      <c r="GY94" s="10"/>
      <c r="GZ94" s="10"/>
      <c r="HA94" s="18"/>
      <c r="HB94" s="4"/>
      <c r="HC94" s="77">
        <f t="shared" si="79"/>
        <v>0.24068801208669882</v>
      </c>
      <c r="HD94" s="8">
        <f t="shared" ref="HD94:HD125" si="86">IF(A94="","",SUM(ET94:GZ94))</f>
        <v>234861</v>
      </c>
      <c r="HE94" s="2"/>
      <c r="HF94" s="3"/>
      <c r="HG94" s="4">
        <v>4001</v>
      </c>
      <c r="HH94" s="4"/>
      <c r="HI94" s="4">
        <v>24483</v>
      </c>
      <c r="HJ94" s="4"/>
      <c r="HK94" s="4"/>
      <c r="HL94" s="4"/>
      <c r="HM94" s="4"/>
      <c r="HN94" s="4">
        <v>23127</v>
      </c>
      <c r="HO94" s="4"/>
      <c r="HP94" s="4"/>
      <c r="HQ94" s="4">
        <v>26030</v>
      </c>
      <c r="HR94" s="4">
        <v>22543</v>
      </c>
      <c r="HS94" s="4"/>
      <c r="HT94" s="10"/>
      <c r="HU94" s="10"/>
      <c r="HV94" s="4"/>
      <c r="HW94" s="4"/>
      <c r="HX94" s="4"/>
      <c r="HY94" s="4"/>
      <c r="HZ94" s="4">
        <v>21354</v>
      </c>
      <c r="IA94" s="4">
        <v>18737</v>
      </c>
      <c r="IB94" s="4"/>
      <c r="IC94" s="4">
        <v>20268</v>
      </c>
      <c r="ID94" s="10"/>
      <c r="IE94" s="4">
        <v>23126</v>
      </c>
      <c r="IF94" s="10"/>
      <c r="IG94" s="4"/>
      <c r="IH94" s="4">
        <v>15398</v>
      </c>
      <c r="II94" s="4"/>
      <c r="IJ94" s="4"/>
      <c r="IK94" s="4"/>
      <c r="IL94" s="4"/>
      <c r="IM94" s="4">
        <v>16024</v>
      </c>
      <c r="IN94" s="4"/>
      <c r="IO94" s="4"/>
      <c r="IP94" s="4">
        <v>24548</v>
      </c>
      <c r="IQ94" s="4"/>
      <c r="IR94" s="4"/>
      <c r="IS94" s="4"/>
      <c r="IT94" s="10"/>
      <c r="IU94" s="4"/>
      <c r="IV94" s="4"/>
      <c r="IW94" s="4"/>
      <c r="IX94" s="10"/>
      <c r="IY94" s="4"/>
      <c r="IZ94" s="4">
        <v>24113</v>
      </c>
      <c r="JA94" s="4"/>
      <c r="JB94" s="4"/>
      <c r="JC94" s="4"/>
      <c r="JD94" s="4"/>
      <c r="JE94" s="4"/>
      <c r="JF94" s="10"/>
      <c r="JG94" s="10"/>
      <c r="JH94" s="10"/>
      <c r="JI94" s="4"/>
      <c r="JJ94" s="4"/>
      <c r="JK94" s="4">
        <v>17748</v>
      </c>
      <c r="JL94" s="4"/>
      <c r="JM94" s="4"/>
      <c r="JN94" s="10">
        <v>19644</v>
      </c>
      <c r="JO94" s="10"/>
      <c r="JP94" s="4"/>
      <c r="JQ94" s="4"/>
      <c r="JR94" s="4"/>
      <c r="JS94" s="4">
        <v>16019</v>
      </c>
      <c r="JT94" s="4"/>
      <c r="JU94" s="10"/>
      <c r="JV94" s="4"/>
      <c r="JW94" s="4"/>
      <c r="JX94" s="4">
        <v>26787</v>
      </c>
      <c r="JY94" s="4"/>
      <c r="JZ94" s="4">
        <v>16997</v>
      </c>
      <c r="KA94" s="4"/>
      <c r="KB94" s="4"/>
      <c r="KC94" s="4">
        <v>18481</v>
      </c>
      <c r="KD94" s="10"/>
      <c r="KE94" s="10"/>
      <c r="KF94" s="10"/>
      <c r="KG94" s="4"/>
      <c r="KH94" s="10"/>
      <c r="KI94" s="10"/>
      <c r="KJ94" s="10"/>
      <c r="KK94" s="10"/>
      <c r="KL94" s="4">
        <v>13140</v>
      </c>
      <c r="KM94" s="10"/>
      <c r="KN94" s="4"/>
      <c r="KO94" s="4"/>
      <c r="KP94" s="4">
        <v>6060</v>
      </c>
      <c r="KQ94" s="4">
        <v>25416</v>
      </c>
      <c r="KR94" s="10"/>
      <c r="KS94" s="4">
        <v>24209</v>
      </c>
      <c r="KT94" s="4">
        <v>21895</v>
      </c>
      <c r="KU94" s="4"/>
      <c r="KV94" s="4">
        <v>18575</v>
      </c>
      <c r="KW94" s="4"/>
      <c r="KX94" s="18"/>
      <c r="KY94" s="4"/>
      <c r="KZ94" s="77">
        <f t="shared" si="80"/>
        <v>-8.5728949647935187E-3</v>
      </c>
      <c r="LA94" s="8">
        <f t="shared" si="62"/>
        <v>488723</v>
      </c>
      <c r="LB94" s="2"/>
      <c r="LC94" s="43"/>
      <c r="LD94" s="1">
        <v>4007</v>
      </c>
      <c r="LF94" s="1">
        <v>10609</v>
      </c>
      <c r="LG94" s="1">
        <v>16364</v>
      </c>
      <c r="LI94" s="1">
        <v>6149</v>
      </c>
      <c r="LJ94" s="1">
        <v>2244</v>
      </c>
      <c r="LL94" s="1">
        <v>15197</v>
      </c>
      <c r="LM94" s="1">
        <v>12851</v>
      </c>
      <c r="LQ94" s="1">
        <v>8257</v>
      </c>
      <c r="LU94" s="1">
        <v>8324</v>
      </c>
      <c r="LY94" s="1">
        <v>5778</v>
      </c>
      <c r="MD94" s="1">
        <v>15045</v>
      </c>
      <c r="ME94" s="1">
        <v>9967</v>
      </c>
      <c r="MI94" s="1">
        <v>21302</v>
      </c>
      <c r="ML94" s="1">
        <v>6626</v>
      </c>
      <c r="MM94" s="1">
        <v>4250</v>
      </c>
      <c r="MN94" s="1">
        <v>9777</v>
      </c>
      <c r="MO94" s="172">
        <v>7280</v>
      </c>
      <c r="MQ94" s="1">
        <v>7281</v>
      </c>
      <c r="MT94" s="1">
        <v>14514</v>
      </c>
      <c r="MV94" s="1">
        <v>22536</v>
      </c>
      <c r="MW94" s="1">
        <v>8318</v>
      </c>
      <c r="MX94" s="1">
        <v>14716</v>
      </c>
      <c r="NC94" s="1">
        <v>15851</v>
      </c>
      <c r="ND94" s="1">
        <v>16028</v>
      </c>
      <c r="NF94" s="1">
        <v>13235</v>
      </c>
      <c r="NG94" s="1">
        <v>9846</v>
      </c>
      <c r="NH94" s="1">
        <v>4818</v>
      </c>
      <c r="NM94" s="1">
        <v>6060</v>
      </c>
      <c r="NN94" s="1">
        <v>10166</v>
      </c>
      <c r="NO94" s="77"/>
      <c r="NP94" s="63"/>
      <c r="NQ94"/>
      <c r="NR94" s="77">
        <f t="shared" si="81"/>
        <v>5.5237637527677179E-2</v>
      </c>
      <c r="NS94" s="8">
        <f t="shared" si="84"/>
        <v>307396</v>
      </c>
      <c r="NT94" s="2"/>
      <c r="NU94" s="7"/>
      <c r="NV94" s="4">
        <v>671</v>
      </c>
      <c r="NW94" s="4"/>
      <c r="NX94" s="4"/>
      <c r="NY94" s="4"/>
      <c r="NZ94" s="4"/>
      <c r="OA94" s="4">
        <v>12399</v>
      </c>
      <c r="OB94" s="4">
        <v>12019</v>
      </c>
      <c r="OC94" s="4"/>
      <c r="OD94" s="4"/>
      <c r="OE94" s="77">
        <f t="shared" si="82"/>
        <v>-2.9012002225578251E-3</v>
      </c>
      <c r="OF94" s="8">
        <f t="shared" si="71"/>
        <v>25089</v>
      </c>
      <c r="OG94" s="2"/>
      <c r="OI94" s="1">
        <v>485</v>
      </c>
      <c r="OJ94" s="40"/>
      <c r="OK94" s="40"/>
      <c r="OL94" s="40"/>
      <c r="OM94" s="40"/>
      <c r="ON94" s="40"/>
      <c r="OO94" s="40"/>
      <c r="OP94" s="1">
        <v>20548</v>
      </c>
      <c r="OQ94" s="40"/>
      <c r="OR94" s="77">
        <f t="shared" si="83"/>
        <v>-0.26161137440758292</v>
      </c>
      <c r="OS94" s="8">
        <f t="shared" si="85"/>
        <v>21033</v>
      </c>
      <c r="OT94" s="37"/>
      <c r="OU94" s="126">
        <f t="shared" si="65"/>
        <v>649702</v>
      </c>
      <c r="OV94" s="71">
        <f t="shared" si="73"/>
        <v>3.8803516923475417E-2</v>
      </c>
      <c r="OW94" s="139">
        <f>IF(A94="","",SUM(Z$17:Z94))</f>
        <v>20000</v>
      </c>
      <c r="OX94" s="139">
        <f t="shared" ref="OX94:OX125" si="87">IF(A94="","",AB94+CZ94+OF94+OW94)</f>
        <v>673758</v>
      </c>
      <c r="OY94" s="132">
        <f t="shared" ref="OY94:OY125" si="88">IF(A94="","",(OX94-OX$16)/OX$16)</f>
        <v>-5.581784472574549E-2</v>
      </c>
      <c r="OZ94" s="140">
        <f t="shared" si="66"/>
        <v>1056069</v>
      </c>
      <c r="PA94" s="84">
        <f t="shared" si="77"/>
        <v>5.7427794716210331E-2</v>
      </c>
      <c r="PB94" s="130">
        <f>IF(A94="","",SUM(HB$17:HB94)+SUM(KY$17:KY94))</f>
        <v>115756.47</v>
      </c>
      <c r="PC94" s="131">
        <f t="shared" ref="PC94:PC125" si="89">IF(A94="","",HD94+LA94+PB94)</f>
        <v>839340.47</v>
      </c>
      <c r="PD94" s="132">
        <f t="shared" ref="PD94:PD125" si="90">IF(A94="","",(PC94-PC$16)/PC$16)</f>
        <v>0.27072488232773823</v>
      </c>
      <c r="PE94" s="133">
        <f t="shared" si="67"/>
        <v>723584</v>
      </c>
      <c r="PF94" s="84">
        <f t="shared" si="69"/>
        <v>6.0587938696778885E-2</v>
      </c>
      <c r="PG94" s="133">
        <f t="shared" si="68"/>
        <v>982187</v>
      </c>
      <c r="PH94" s="84">
        <f t="shared" si="70"/>
        <v>4.2772056481579786E-2</v>
      </c>
      <c r="PI94" s="135">
        <f t="shared" ref="PI94:PI125" si="91">IF(A94="","",OU94+OZ94)</f>
        <v>1705771</v>
      </c>
      <c r="PJ94" s="136">
        <f t="shared" si="74"/>
        <v>5.0255888010205967E-2</v>
      </c>
      <c r="PK94" s="123">
        <f t="shared" si="72"/>
        <v>-9.7055242652663673E-2</v>
      </c>
      <c r="PL94" s="137">
        <f t="shared" ref="PL94:PL125" si="92">IF(A94="","",OW94+PB94)</f>
        <v>135756.47</v>
      </c>
      <c r="PM94" s="9">
        <f t="shared" ref="PM94:PM125" si="93">IF(A94="","",OX94+PC94)</f>
        <v>1513098.47</v>
      </c>
      <c r="PN94" s="138">
        <f t="shared" ref="PN94:PN125" si="94">IF(A94="","",(PM94-PM$16)/PM$16)</f>
        <v>0.10114799397428151</v>
      </c>
      <c r="PO94" s="86">
        <f>IF(PI94="","",MAX(PI$15:PI94))</f>
        <v>1940884.25</v>
      </c>
      <c r="PP94" s="113">
        <f t="shared" si="75"/>
        <v>-0.13783400585424421</v>
      </c>
      <c r="PQ94" s="41"/>
      <c r="PR94" s="302"/>
    </row>
    <row r="95" spans="1:434" s="1" customFormat="1" ht="15" customHeight="1" x14ac:dyDescent="0.45">
      <c r="A95" s="18">
        <v>44929</v>
      </c>
      <c r="B95" s="3"/>
      <c r="C95" s="4">
        <v>1485</v>
      </c>
      <c r="D95" s="10"/>
      <c r="E95" s="10"/>
      <c r="F95" s="10"/>
      <c r="G95" s="4"/>
      <c r="H95" s="4"/>
      <c r="I95" s="4">
        <v>32613</v>
      </c>
      <c r="J95" s="4"/>
      <c r="K95" s="4">
        <v>16988</v>
      </c>
      <c r="L95" s="4">
        <v>21556</v>
      </c>
      <c r="M95" s="4">
        <v>19157</v>
      </c>
      <c r="N95" s="4"/>
      <c r="O95" s="10"/>
      <c r="P95" s="4">
        <v>68004</v>
      </c>
      <c r="Q95" s="4"/>
      <c r="R95" s="4"/>
      <c r="S95" s="4">
        <v>10543</v>
      </c>
      <c r="T95" s="4">
        <v>7229</v>
      </c>
      <c r="U95" s="10"/>
      <c r="V95" s="10"/>
      <c r="W95" s="10"/>
      <c r="X95" s="4"/>
      <c r="Y95" s="18" t="str">
        <f t="shared" si="64"/>
        <v/>
      </c>
      <c r="Z95" s="4"/>
      <c r="AA95" s="77">
        <f t="shared" si="78"/>
        <v>7.7158715234600106E-2</v>
      </c>
      <c r="AB95" s="8">
        <f t="shared" ref="AB95:AB151" si="95">IF(A95="","",SUM(C95:X95))</f>
        <v>177575</v>
      </c>
      <c r="AC95" s="2"/>
      <c r="AD95" s="3"/>
      <c r="AE95" s="4">
        <v>6340</v>
      </c>
      <c r="AF95" s="4">
        <f>29366+24284+24850</f>
        <v>78500</v>
      </c>
      <c r="AG95" s="4"/>
      <c r="AH95" s="4"/>
      <c r="AI95" s="1">
        <v>10519</v>
      </c>
      <c r="AJ95" s="4"/>
      <c r="AK95" s="4"/>
      <c r="AL95" s="4">
        <v>21923</v>
      </c>
      <c r="AM95" s="4"/>
      <c r="AN95" s="1">
        <v>5803</v>
      </c>
      <c r="AO95" s="4"/>
      <c r="AP95" s="10"/>
      <c r="AQ95" s="4"/>
      <c r="AR95" s="4"/>
      <c r="AS95" s="4"/>
      <c r="AT95" s="4">
        <v>89650</v>
      </c>
      <c r="AU95" s="4"/>
      <c r="AW95" s="4"/>
      <c r="AX95" s="4"/>
      <c r="AY95" s="4"/>
      <c r="AZ95" s="4"/>
      <c r="BA95" s="4"/>
      <c r="BB95" s="4"/>
      <c r="BC95" s="4"/>
      <c r="BD95" s="4"/>
      <c r="BE95" s="4">
        <v>14336</v>
      </c>
      <c r="BF95" s="4"/>
      <c r="BG95" s="1">
        <v>5606</v>
      </c>
      <c r="BH95" s="4"/>
      <c r="BI95" s="4"/>
      <c r="BJ95" s="4">
        <v>23700</v>
      </c>
      <c r="BK95" s="4"/>
      <c r="BL95" s="4"/>
      <c r="BM95" s="4"/>
      <c r="BN95" s="4"/>
      <c r="BO95" s="4"/>
      <c r="BP95" s="4"/>
      <c r="BQ95" s="4"/>
      <c r="BR95" s="1">
        <v>9741</v>
      </c>
      <c r="BS95" s="10"/>
      <c r="BT95" s="4"/>
      <c r="BU95" s="4"/>
      <c r="BV95" s="4"/>
      <c r="BW95" s="4"/>
      <c r="BX95" s="1">
        <v>6806</v>
      </c>
      <c r="BY95" s="1">
        <v>9823</v>
      </c>
      <c r="BZ95" s="1">
        <v>8001</v>
      </c>
      <c r="CA95" s="4"/>
      <c r="CB95" s="4"/>
      <c r="CC95" s="4"/>
      <c r="CD95" s="4"/>
      <c r="CE95" s="4"/>
      <c r="CF95" s="4">
        <v>69424</v>
      </c>
      <c r="CG95" s="4"/>
      <c r="CH95" s="4">
        <v>25809</v>
      </c>
      <c r="CI95" s="4"/>
      <c r="CJ95" s="10"/>
      <c r="CK95" s="4"/>
      <c r="CL95" s="10"/>
      <c r="CM95" s="1">
        <v>9500</v>
      </c>
      <c r="CN95" s="4"/>
      <c r="CO95" s="10"/>
      <c r="CP95" s="4"/>
      <c r="CQ95" s="4">
        <v>12400</v>
      </c>
      <c r="CR95" s="10"/>
      <c r="CS95" s="4"/>
      <c r="CT95" s="4"/>
      <c r="CU95" s="4">
        <v>5970</v>
      </c>
      <c r="CV95" s="4">
        <v>23505</v>
      </c>
      <c r="CW95" s="4"/>
      <c r="CX95" s="4"/>
      <c r="CY95" s="77">
        <f t="shared" si="76"/>
        <v>-5.7044418667828049E-2</v>
      </c>
      <c r="CZ95" s="8">
        <f t="shared" ref="CZ95:CZ114" si="96">IF(A95="","",SUM(AE95:CX95))</f>
        <v>437356</v>
      </c>
      <c r="DA95" s="2"/>
      <c r="DD95" s="1">
        <v>16091</v>
      </c>
      <c r="DE95" s="1">
        <v>14936</v>
      </c>
      <c r="DF95" s="1">
        <v>12632</v>
      </c>
      <c r="DH95" s="4"/>
      <c r="DJ95" s="4"/>
      <c r="DL95" s="1">
        <v>15039</v>
      </c>
      <c r="DM95" s="1">
        <v>20973</v>
      </c>
      <c r="DN95" s="1">
        <v>14484</v>
      </c>
      <c r="DP95" s="1">
        <v>22230</v>
      </c>
      <c r="DQ95" s="1">
        <v>14547</v>
      </c>
      <c r="DR95" s="1">
        <v>15579</v>
      </c>
      <c r="DS95" s="1">
        <v>15314</v>
      </c>
      <c r="DU95" s="1">
        <v>13174</v>
      </c>
      <c r="DX95" s="2"/>
      <c r="DY95" s="32"/>
      <c r="DZ95" s="4">
        <v>797</v>
      </c>
      <c r="EA95" s="32"/>
      <c r="EB95" s="32"/>
      <c r="EC95" s="32"/>
      <c r="ED95" s="32"/>
      <c r="EE95" s="4">
        <v>12189</v>
      </c>
      <c r="EF95" s="4">
        <v>11974</v>
      </c>
      <c r="EG95" s="32"/>
      <c r="EH95" s="32"/>
      <c r="EI95" s="32"/>
      <c r="EJ95" s="32"/>
      <c r="EK95" s="5"/>
      <c r="EO95" s="2"/>
      <c r="EQ95" s="468" t="s">
        <v>1</v>
      </c>
      <c r="ER95"/>
      <c r="ES95" s="6"/>
      <c r="ET95" s="10"/>
      <c r="EU95" s="10"/>
      <c r="EV95" s="10"/>
      <c r="EW95" s="10"/>
      <c r="EX95" s="4">
        <v>3810</v>
      </c>
      <c r="EY95" s="4"/>
      <c r="EZ95" s="4"/>
      <c r="FA95" s="4"/>
      <c r="FB95" s="4"/>
      <c r="FC95" s="4">
        <v>8611</v>
      </c>
      <c r="FD95" s="4"/>
      <c r="FE95" s="4"/>
      <c r="FF95" s="4"/>
      <c r="FG95" s="4"/>
      <c r="FH95" s="10"/>
      <c r="FI95" s="10"/>
      <c r="FJ95" s="10"/>
      <c r="FK95" s="10"/>
      <c r="FL95" s="10"/>
      <c r="FM95" s="10"/>
      <c r="FN95" s="4">
        <v>8906</v>
      </c>
      <c r="FO95" s="4"/>
      <c r="FP95" s="10"/>
      <c r="FQ95" s="4"/>
      <c r="FR95" s="4"/>
      <c r="FS95" s="10"/>
      <c r="FT95" s="4">
        <v>32613</v>
      </c>
      <c r="FU95" s="4"/>
      <c r="FV95" s="4"/>
      <c r="FW95" s="4">
        <v>16988</v>
      </c>
      <c r="FX95" s="4"/>
      <c r="FY95" s="4">
        <v>21556</v>
      </c>
      <c r="FZ95" s="10"/>
      <c r="GA95" s="10"/>
      <c r="GB95" s="10"/>
      <c r="GC95" s="10"/>
      <c r="GD95" s="4">
        <v>19157</v>
      </c>
      <c r="GE95" s="4">
        <v>17487</v>
      </c>
      <c r="GF95" s="4"/>
      <c r="GG95" s="4"/>
      <c r="GH95" s="4"/>
      <c r="GI95" s="4">
        <v>15091</v>
      </c>
      <c r="GJ95" s="4"/>
      <c r="GK95" s="4"/>
      <c r="GL95" s="4"/>
      <c r="GM95" s="4">
        <v>27649</v>
      </c>
      <c r="GN95" s="10"/>
      <c r="GO95" s="10"/>
      <c r="GP95" s="4"/>
      <c r="GQ95" s="10"/>
      <c r="GR95" s="4">
        <v>18616</v>
      </c>
      <c r="GS95" s="10"/>
      <c r="GT95" s="4">
        <v>10543</v>
      </c>
      <c r="GU95" s="10"/>
      <c r="GV95" s="4">
        <v>7229</v>
      </c>
      <c r="GW95" s="10">
        <v>17726</v>
      </c>
      <c r="GX95" s="10"/>
      <c r="GY95" s="10"/>
      <c r="GZ95" s="10"/>
      <c r="HA95" s="18"/>
      <c r="HB95" s="4"/>
      <c r="HC95" s="77">
        <f t="shared" si="79"/>
        <v>-3.7805340179936218E-2</v>
      </c>
      <c r="HD95" s="8">
        <f t="shared" si="86"/>
        <v>225982</v>
      </c>
      <c r="HE95" s="2"/>
      <c r="HF95" s="3"/>
      <c r="HG95" s="4">
        <v>5369</v>
      </c>
      <c r="HH95" s="4"/>
      <c r="HI95" s="4">
        <v>24275</v>
      </c>
      <c r="HJ95" s="4"/>
      <c r="HK95" s="4"/>
      <c r="HL95" s="4"/>
      <c r="HM95" s="4"/>
      <c r="HN95" s="4">
        <v>21923</v>
      </c>
      <c r="HO95" s="4"/>
      <c r="HP95" s="4"/>
      <c r="HQ95" s="4">
        <v>22740</v>
      </c>
      <c r="HR95" s="4">
        <v>23188</v>
      </c>
      <c r="HS95" s="4"/>
      <c r="HT95" s="10"/>
      <c r="HU95" s="10"/>
      <c r="HV95" s="4">
        <v>13595</v>
      </c>
      <c r="HW95" s="4"/>
      <c r="HX95" s="4"/>
      <c r="HY95" s="4"/>
      <c r="HZ95" s="4">
        <v>20642</v>
      </c>
      <c r="IA95" s="4">
        <v>17268</v>
      </c>
      <c r="IB95" s="4"/>
      <c r="IC95" s="4">
        <v>20936</v>
      </c>
      <c r="ID95" s="10"/>
      <c r="IE95" s="4">
        <v>21546</v>
      </c>
      <c r="IF95" s="10"/>
      <c r="IG95" s="4"/>
      <c r="IH95" s="4"/>
      <c r="II95" s="4"/>
      <c r="IJ95" s="4"/>
      <c r="IK95" s="4"/>
      <c r="IL95" s="4"/>
      <c r="IM95" s="4">
        <v>14336</v>
      </c>
      <c r="IN95" s="4"/>
      <c r="IO95" s="4"/>
      <c r="IP95" s="4">
        <v>23700</v>
      </c>
      <c r="IQ95" s="4"/>
      <c r="IR95" s="4"/>
      <c r="IS95" s="4"/>
      <c r="IT95" s="10"/>
      <c r="IU95" s="4"/>
      <c r="IV95" s="4"/>
      <c r="IW95" s="4"/>
      <c r="IX95" s="10"/>
      <c r="IY95" s="4"/>
      <c r="IZ95" s="4">
        <v>23567</v>
      </c>
      <c r="JA95" s="4"/>
      <c r="JB95" s="4"/>
      <c r="JC95" s="4"/>
      <c r="JD95" s="4"/>
      <c r="JE95" s="4"/>
      <c r="JF95" s="10"/>
      <c r="JG95" s="10"/>
      <c r="JH95" s="10"/>
      <c r="JI95" s="4"/>
      <c r="JJ95" s="4"/>
      <c r="JK95" s="4">
        <v>17143</v>
      </c>
      <c r="JL95" s="4"/>
      <c r="JM95" s="4"/>
      <c r="JN95" s="10">
        <v>20760</v>
      </c>
      <c r="JO95" s="10"/>
      <c r="JP95" s="4"/>
      <c r="JQ95" s="4"/>
      <c r="JR95" s="4"/>
      <c r="JS95" s="4">
        <v>16002</v>
      </c>
      <c r="JT95" s="4"/>
      <c r="JU95" s="10"/>
      <c r="JV95" s="4"/>
      <c r="JW95" s="4"/>
      <c r="JX95" s="4">
        <v>25809</v>
      </c>
      <c r="JY95" s="4"/>
      <c r="JZ95" s="4">
        <v>15770</v>
      </c>
      <c r="KA95" s="4"/>
      <c r="KB95" s="4"/>
      <c r="KC95" s="4">
        <v>17621</v>
      </c>
      <c r="KD95" s="10"/>
      <c r="KE95" s="10"/>
      <c r="KF95" s="10"/>
      <c r="KG95" s="4"/>
      <c r="KH95" s="10"/>
      <c r="KI95" s="10"/>
      <c r="KJ95" s="10"/>
      <c r="KK95" s="10"/>
      <c r="KL95" s="4">
        <v>12400</v>
      </c>
      <c r="KM95" s="10"/>
      <c r="KN95" s="4"/>
      <c r="KO95" s="4"/>
      <c r="KP95" s="4">
        <v>5970</v>
      </c>
      <c r="KQ95" s="4">
        <v>23505</v>
      </c>
      <c r="KR95" s="10"/>
      <c r="KS95" s="4">
        <v>23183</v>
      </c>
      <c r="KT95" s="4">
        <v>21276</v>
      </c>
      <c r="KU95" s="4"/>
      <c r="KV95" s="4">
        <v>16788</v>
      </c>
      <c r="KW95" s="4"/>
      <c r="KX95" s="18"/>
      <c r="KY95" s="4"/>
      <c r="KZ95" s="77">
        <f t="shared" si="80"/>
        <v>-3.9717795151854939E-2</v>
      </c>
      <c r="LA95" s="8">
        <f t="shared" ref="LA95:LA126" si="97">IF(A95="","",SUM(HG95:KW95))</f>
        <v>469312</v>
      </c>
      <c r="LB95" s="2"/>
      <c r="LC95" s="43"/>
      <c r="LD95" s="1">
        <v>3899</v>
      </c>
      <c r="LF95" s="1">
        <v>10519</v>
      </c>
      <c r="LG95" s="1">
        <v>16091</v>
      </c>
      <c r="LI95" s="1">
        <v>5803</v>
      </c>
      <c r="LJ95" s="1">
        <v>6588</v>
      </c>
      <c r="LL95" s="1">
        <v>14936</v>
      </c>
      <c r="LM95" s="1">
        <v>12632</v>
      </c>
      <c r="LQ95" s="1">
        <v>8529</v>
      </c>
      <c r="LU95" s="1">
        <v>8361</v>
      </c>
      <c r="LY95" s="1">
        <v>5606</v>
      </c>
      <c r="MD95" s="1">
        <v>15039</v>
      </c>
      <c r="ME95" s="1">
        <v>9741</v>
      </c>
      <c r="MI95" s="1">
        <v>20973</v>
      </c>
      <c r="ML95" s="1">
        <v>7589</v>
      </c>
      <c r="MM95" s="1">
        <v>6806</v>
      </c>
      <c r="MN95" s="1">
        <v>9823</v>
      </c>
      <c r="MO95" s="172"/>
      <c r="MQ95" s="1">
        <v>8001</v>
      </c>
      <c r="MT95" s="1">
        <v>14484</v>
      </c>
      <c r="MV95" s="1">
        <v>22230</v>
      </c>
      <c r="MW95" s="1">
        <v>8191</v>
      </c>
      <c r="MX95" s="1">
        <v>14547</v>
      </c>
      <c r="NC95" s="1">
        <v>15579</v>
      </c>
      <c r="ND95" s="1">
        <v>15314</v>
      </c>
      <c r="NF95" s="1">
        <v>13174</v>
      </c>
      <c r="NG95" s="1">
        <v>9500</v>
      </c>
      <c r="NH95" s="1">
        <v>4547</v>
      </c>
      <c r="NM95" s="1">
        <v>5970</v>
      </c>
      <c r="NN95" s="1">
        <v>9402</v>
      </c>
      <c r="NO95" s="77"/>
      <c r="NP95" s="63"/>
      <c r="NQ95"/>
      <c r="NR95" s="77">
        <f t="shared" si="81"/>
        <v>-1.1457533604861481E-2</v>
      </c>
      <c r="NS95" s="8">
        <f t="shared" si="84"/>
        <v>303874</v>
      </c>
      <c r="NT95" s="2"/>
      <c r="NU95" s="7"/>
      <c r="NV95" s="4">
        <v>797</v>
      </c>
      <c r="NW95" s="4"/>
      <c r="NX95" s="4"/>
      <c r="NY95" s="4"/>
      <c r="NZ95" s="4"/>
      <c r="OA95" s="4">
        <v>12189</v>
      </c>
      <c r="OB95" s="4">
        <v>11974</v>
      </c>
      <c r="OC95" s="4"/>
      <c r="OD95" s="4"/>
      <c r="OE95" s="77">
        <f t="shared" si="82"/>
        <v>-5.1416955637928969E-3</v>
      </c>
      <c r="OF95" s="8">
        <f t="shared" si="71"/>
        <v>24960</v>
      </c>
      <c r="OG95" s="2"/>
      <c r="OI95" s="1">
        <v>487</v>
      </c>
      <c r="OJ95" s="40"/>
      <c r="OK95" s="40"/>
      <c r="OL95" s="40"/>
      <c r="OM95" s="40"/>
      <c r="ON95" s="40"/>
      <c r="OO95" s="40"/>
      <c r="OP95" s="1">
        <v>20430</v>
      </c>
      <c r="OQ95" s="40"/>
      <c r="OR95" s="77">
        <f t="shared" si="83"/>
        <v>-5.515142870726953E-3</v>
      </c>
      <c r="OS95" s="8">
        <f t="shared" si="85"/>
        <v>20917</v>
      </c>
      <c r="OT95" s="37"/>
      <c r="OU95" s="126">
        <f t="shared" si="65"/>
        <v>635848</v>
      </c>
      <c r="OV95" s="71">
        <f t="shared" si="73"/>
        <v>-2.1323622214492181E-2</v>
      </c>
      <c r="OW95" s="139">
        <f>IF(A95="","",SUM(Z$17:Z95))</f>
        <v>20000</v>
      </c>
      <c r="OX95" s="139">
        <f t="shared" si="87"/>
        <v>659891</v>
      </c>
      <c r="OY95" s="132">
        <f t="shared" si="88"/>
        <v>-7.5250599434688592E-2</v>
      </c>
      <c r="OZ95" s="140">
        <f t="shared" si="66"/>
        <v>1024128</v>
      </c>
      <c r="PA95" s="84">
        <f t="shared" si="77"/>
        <v>-3.0245182843166497E-2</v>
      </c>
      <c r="PB95" s="130">
        <f>IF(A95="","",SUM(HB$17:HB95)+SUM(KY$17:KY95))</f>
        <v>115756.47</v>
      </c>
      <c r="PC95" s="131">
        <f t="shared" si="89"/>
        <v>811050.47</v>
      </c>
      <c r="PD95" s="132">
        <f t="shared" si="90"/>
        <v>0.22789505556976988</v>
      </c>
      <c r="PE95" s="133">
        <f t="shared" si="67"/>
        <v>695294</v>
      </c>
      <c r="PF95" s="84">
        <f t="shared" si="69"/>
        <v>-3.909705023881125E-2</v>
      </c>
      <c r="PG95" s="133">
        <f t="shared" si="68"/>
        <v>964682</v>
      </c>
      <c r="PH95" s="84">
        <f t="shared" si="70"/>
        <v>-1.7822471688181577E-2</v>
      </c>
      <c r="PI95" s="135">
        <f t="shared" si="91"/>
        <v>1659976</v>
      </c>
      <c r="PJ95" s="136">
        <f t="shared" si="74"/>
        <v>-2.6847097295006186E-2</v>
      </c>
      <c r="PK95" s="123">
        <f t="shared" si="72"/>
        <v>-0.11446930071403613</v>
      </c>
      <c r="PL95" s="137">
        <f t="shared" si="92"/>
        <v>135756.47</v>
      </c>
      <c r="PM95" s="9">
        <f t="shared" si="93"/>
        <v>1470941.47</v>
      </c>
      <c r="PN95" s="138">
        <f t="shared" si="94"/>
        <v>7.0468499610657057E-2</v>
      </c>
      <c r="PO95" s="86">
        <f>IF(PI95="","",MAX(PI$15:PI95))</f>
        <v>1940884.25</v>
      </c>
      <c r="PP95" s="113">
        <f t="shared" si="75"/>
        <v>-0.16922428396555131</v>
      </c>
      <c r="PQ95" s="41"/>
      <c r="PR95" s="302"/>
    </row>
    <row r="96" spans="1:434" s="1" customFormat="1" ht="15" customHeight="1" x14ac:dyDescent="0.45">
      <c r="A96" s="18">
        <v>44959</v>
      </c>
      <c r="B96" s="3"/>
      <c r="C96" s="4">
        <v>1490</v>
      </c>
      <c r="D96" s="10"/>
      <c r="E96" s="10"/>
      <c r="F96" s="10"/>
      <c r="G96" s="4"/>
      <c r="H96" s="4"/>
      <c r="I96" s="4">
        <v>35522</v>
      </c>
      <c r="J96" s="4"/>
      <c r="K96" s="4">
        <v>19346</v>
      </c>
      <c r="L96" s="4">
        <v>22261</v>
      </c>
      <c r="M96" s="4">
        <v>20924</v>
      </c>
      <c r="N96" s="4"/>
      <c r="O96" s="10"/>
      <c r="P96" s="4">
        <v>69678</v>
      </c>
      <c r="Q96" s="4"/>
      <c r="R96" s="4"/>
      <c r="S96" s="4">
        <v>11538</v>
      </c>
      <c r="T96" s="4">
        <v>7961</v>
      </c>
      <c r="U96" s="10"/>
      <c r="V96" s="10"/>
      <c r="W96" s="10"/>
      <c r="X96" s="4"/>
      <c r="Y96" s="18" t="str">
        <f t="shared" si="64"/>
        <v/>
      </c>
      <c r="Z96" s="4"/>
      <c r="AA96" s="77">
        <f t="shared" si="78"/>
        <v>6.2762213149373511E-2</v>
      </c>
      <c r="AB96" s="8">
        <f t="shared" si="95"/>
        <v>188720</v>
      </c>
      <c r="AC96" s="2"/>
      <c r="AD96" s="3"/>
      <c r="AE96" s="4">
        <v>6361</v>
      </c>
      <c r="AF96" s="4">
        <f>29586+24536+24912</f>
        <v>79034</v>
      </c>
      <c r="AG96" s="4"/>
      <c r="AH96" s="4"/>
      <c r="AI96" s="1">
        <v>9404</v>
      </c>
      <c r="AJ96" s="4"/>
      <c r="AK96" s="4"/>
      <c r="AL96" s="4">
        <v>22069</v>
      </c>
      <c r="AM96" s="4"/>
      <c r="AN96" s="1">
        <v>6287</v>
      </c>
      <c r="AO96" s="4"/>
      <c r="AP96" s="10"/>
      <c r="AQ96" s="4"/>
      <c r="AR96" s="4"/>
      <c r="AS96" s="4"/>
      <c r="AT96" s="4">
        <v>110353</v>
      </c>
      <c r="AU96" s="4"/>
      <c r="AW96" s="4"/>
      <c r="AX96" s="4"/>
      <c r="AY96" s="4"/>
      <c r="AZ96" s="4"/>
      <c r="BA96" s="4"/>
      <c r="BB96" s="4"/>
      <c r="BC96" s="4"/>
      <c r="BD96" s="4"/>
      <c r="BE96" s="4">
        <v>17036</v>
      </c>
      <c r="BF96" s="4"/>
      <c r="BG96" s="1">
        <v>6579</v>
      </c>
      <c r="BH96" s="4"/>
      <c r="BI96" s="4"/>
      <c r="BJ96" s="4">
        <v>25437</v>
      </c>
      <c r="BK96" s="4"/>
      <c r="BL96" s="4"/>
      <c r="BM96" s="4"/>
      <c r="BN96" s="4"/>
      <c r="BO96" s="4"/>
      <c r="BP96" s="4"/>
      <c r="BQ96" s="4"/>
      <c r="BR96" s="1">
        <v>9286</v>
      </c>
      <c r="BS96" s="10"/>
      <c r="BT96" s="4"/>
      <c r="BU96" s="4"/>
      <c r="BV96" s="4"/>
      <c r="BW96" s="4"/>
      <c r="BX96" s="1">
        <v>6831</v>
      </c>
      <c r="BY96" s="1">
        <v>9199</v>
      </c>
      <c r="BZ96" s="1">
        <v>8152</v>
      </c>
      <c r="CA96" s="4"/>
      <c r="CB96" s="4"/>
      <c r="CC96" s="4"/>
      <c r="CD96" s="4"/>
      <c r="CE96" s="4"/>
      <c r="CF96" s="4">
        <v>96734</v>
      </c>
      <c r="CG96" s="4"/>
      <c r="CH96" s="4">
        <v>23544</v>
      </c>
      <c r="CI96" s="4"/>
      <c r="CJ96" s="10"/>
      <c r="CK96" s="4"/>
      <c r="CL96" s="10"/>
      <c r="CM96" s="1">
        <v>10384</v>
      </c>
      <c r="CN96" s="4"/>
      <c r="CO96" s="10"/>
      <c r="CP96" s="4"/>
      <c r="CQ96" s="4">
        <v>14120</v>
      </c>
      <c r="CR96" s="10"/>
      <c r="CS96" s="4"/>
      <c r="CT96" s="4"/>
      <c r="CU96" s="4">
        <v>6375</v>
      </c>
      <c r="CV96" s="4">
        <v>22679</v>
      </c>
      <c r="CW96" s="4"/>
      <c r="CX96" s="4"/>
      <c r="CY96" s="77">
        <f t="shared" si="76"/>
        <v>0.12005780188221953</v>
      </c>
      <c r="CZ96" s="8">
        <f t="shared" si="96"/>
        <v>489864</v>
      </c>
      <c r="DA96" s="2"/>
      <c r="DD96" s="1">
        <v>16644</v>
      </c>
      <c r="DE96" s="1">
        <v>15480</v>
      </c>
      <c r="DF96" s="1">
        <v>13063</v>
      </c>
      <c r="DH96" s="4"/>
      <c r="DJ96" s="4"/>
      <c r="DL96" s="1">
        <v>15072</v>
      </c>
      <c r="DM96" s="1">
        <v>21716</v>
      </c>
      <c r="DN96" s="1">
        <v>14582</v>
      </c>
      <c r="DP96" s="1">
        <v>22768</v>
      </c>
      <c r="DQ96" s="1">
        <v>14720</v>
      </c>
      <c r="DR96" s="1">
        <v>16290</v>
      </c>
      <c r="DS96" s="1">
        <v>16526</v>
      </c>
      <c r="DU96" s="1">
        <v>13405</v>
      </c>
      <c r="DX96" s="2"/>
      <c r="DY96" s="32"/>
      <c r="DZ96" s="4">
        <v>769</v>
      </c>
      <c r="EA96" s="32"/>
      <c r="EB96" s="32"/>
      <c r="EC96" s="32"/>
      <c r="ED96" s="32"/>
      <c r="EE96" s="4">
        <v>12753</v>
      </c>
      <c r="EF96" s="4">
        <v>12184</v>
      </c>
      <c r="EG96" s="32"/>
      <c r="EH96" s="32"/>
      <c r="EI96" s="32"/>
      <c r="EJ96" s="32"/>
      <c r="EK96" s="5"/>
      <c r="EO96" s="2"/>
      <c r="EQ96" s="468" t="s">
        <v>1</v>
      </c>
      <c r="ER96"/>
      <c r="ES96" s="6"/>
      <c r="ET96" s="10"/>
      <c r="EU96" s="10"/>
      <c r="EV96" s="10"/>
      <c r="EW96" s="10"/>
      <c r="EX96" s="4">
        <v>3381</v>
      </c>
      <c r="EY96" s="4"/>
      <c r="EZ96" s="4"/>
      <c r="FA96" s="4"/>
      <c r="FB96" s="4"/>
      <c r="FC96" s="4">
        <v>11234</v>
      </c>
      <c r="FD96" s="4"/>
      <c r="FE96" s="4"/>
      <c r="FF96" s="4"/>
      <c r="FG96" s="4"/>
      <c r="FH96" s="10"/>
      <c r="FI96" s="10"/>
      <c r="FJ96" s="10"/>
      <c r="FK96" s="10"/>
      <c r="FL96" s="10"/>
      <c r="FM96" s="10"/>
      <c r="FN96" s="4">
        <v>11275</v>
      </c>
      <c r="FO96" s="4"/>
      <c r="FP96" s="10"/>
      <c r="FQ96" s="4"/>
      <c r="FR96" s="4"/>
      <c r="FS96" s="10"/>
      <c r="FT96" s="4">
        <v>35522</v>
      </c>
      <c r="FU96" s="4"/>
      <c r="FV96" s="4"/>
      <c r="FW96" s="4">
        <v>19346</v>
      </c>
      <c r="FX96" s="4"/>
      <c r="FY96" s="4">
        <v>22261</v>
      </c>
      <c r="FZ96" s="10"/>
      <c r="GA96" s="10"/>
      <c r="GB96" s="10"/>
      <c r="GC96" s="10"/>
      <c r="GD96" s="4">
        <v>20924</v>
      </c>
      <c r="GE96" s="4">
        <v>18029</v>
      </c>
      <c r="GF96" s="4"/>
      <c r="GG96" s="4"/>
      <c r="GH96" s="4"/>
      <c r="GI96" s="4">
        <v>14153</v>
      </c>
      <c r="GJ96" s="4"/>
      <c r="GK96" s="4"/>
      <c r="GL96" s="4"/>
      <c r="GM96" s="4">
        <v>30184</v>
      </c>
      <c r="GN96" s="10"/>
      <c r="GO96" s="10"/>
      <c r="GP96" s="4"/>
      <c r="GQ96" s="10"/>
      <c r="GR96" s="4">
        <v>19265</v>
      </c>
      <c r="GS96" s="10"/>
      <c r="GT96" s="4">
        <v>11538</v>
      </c>
      <c r="GU96" s="10"/>
      <c r="GV96" s="4">
        <v>7961</v>
      </c>
      <c r="GW96" s="10">
        <v>19085</v>
      </c>
      <c r="GX96" s="10"/>
      <c r="GY96" s="10"/>
      <c r="GZ96" s="10"/>
      <c r="HA96" s="18"/>
      <c r="HB96" s="4"/>
      <c r="HC96" s="77">
        <f t="shared" si="79"/>
        <v>8.0431184784628865E-2</v>
      </c>
      <c r="HD96" s="8">
        <f t="shared" si="86"/>
        <v>244158</v>
      </c>
      <c r="HE96" s="2"/>
      <c r="HF96" s="3"/>
      <c r="HG96" s="4">
        <v>7733</v>
      </c>
      <c r="HH96" s="4"/>
      <c r="HI96" s="4">
        <v>21701</v>
      </c>
      <c r="HJ96" s="4"/>
      <c r="HK96" s="4"/>
      <c r="HL96" s="4"/>
      <c r="HM96" s="4"/>
      <c r="HN96" s="4">
        <v>22069</v>
      </c>
      <c r="HO96" s="4"/>
      <c r="HP96" s="4"/>
      <c r="HQ96" s="4">
        <v>23394</v>
      </c>
      <c r="HR96" s="4">
        <v>25268</v>
      </c>
      <c r="HS96" s="4"/>
      <c r="HT96" s="10"/>
      <c r="HU96" s="10"/>
      <c r="HV96" s="4">
        <v>15670</v>
      </c>
      <c r="HW96" s="4"/>
      <c r="HX96" s="4"/>
      <c r="HY96" s="4"/>
      <c r="HZ96" s="4">
        <v>21233</v>
      </c>
      <c r="IA96" s="4">
        <v>21039</v>
      </c>
      <c r="IB96" s="4"/>
      <c r="IC96" s="4">
        <v>19869</v>
      </c>
      <c r="ID96" s="10"/>
      <c r="IE96" s="4">
        <v>20264</v>
      </c>
      <c r="IF96" s="10"/>
      <c r="IG96" s="4">
        <v>18846</v>
      </c>
      <c r="IH96" s="4"/>
      <c r="II96" s="4"/>
      <c r="IJ96" s="4"/>
      <c r="IK96" s="4"/>
      <c r="IL96" s="4"/>
      <c r="IM96" s="4">
        <v>17036</v>
      </c>
      <c r="IN96" s="4"/>
      <c r="IO96" s="4"/>
      <c r="IP96" s="4">
        <v>25437</v>
      </c>
      <c r="IQ96" s="4"/>
      <c r="IR96" s="4"/>
      <c r="IS96" s="4"/>
      <c r="IT96" s="10"/>
      <c r="IU96" s="4"/>
      <c r="IV96" s="4"/>
      <c r="IW96" s="4"/>
      <c r="IX96" s="10"/>
      <c r="IY96" s="4"/>
      <c r="IZ96" s="4">
        <v>22466</v>
      </c>
      <c r="JA96" s="4"/>
      <c r="JB96" s="4"/>
      <c r="JC96" s="4"/>
      <c r="JD96" s="4"/>
      <c r="JE96" s="4"/>
      <c r="JF96" s="10"/>
      <c r="JG96" s="10"/>
      <c r="JH96" s="10"/>
      <c r="JI96" s="4"/>
      <c r="JJ96" s="4"/>
      <c r="JK96" s="4">
        <v>16667</v>
      </c>
      <c r="JL96" s="4"/>
      <c r="JM96" s="4"/>
      <c r="JN96" s="10">
        <v>22677</v>
      </c>
      <c r="JO96" s="10"/>
      <c r="JP96" s="4"/>
      <c r="JQ96" s="4"/>
      <c r="JR96" s="4"/>
      <c r="JS96" s="4">
        <v>16305</v>
      </c>
      <c r="JT96" s="4"/>
      <c r="JU96" s="10"/>
      <c r="JV96" s="4"/>
      <c r="JW96" s="4"/>
      <c r="JX96" s="4">
        <v>23544</v>
      </c>
      <c r="JY96" s="4"/>
      <c r="JZ96" s="4">
        <v>17289</v>
      </c>
      <c r="KA96" s="4"/>
      <c r="KB96" s="4"/>
      <c r="KC96" s="4">
        <v>19545</v>
      </c>
      <c r="KD96" s="10"/>
      <c r="KE96" s="10"/>
      <c r="KF96" s="10"/>
      <c r="KG96" s="4"/>
      <c r="KH96" s="10"/>
      <c r="KI96" s="10"/>
      <c r="KJ96" s="10"/>
      <c r="KK96" s="10"/>
      <c r="KL96" s="4">
        <v>14120</v>
      </c>
      <c r="KM96" s="10"/>
      <c r="KN96" s="4"/>
      <c r="KO96" s="4"/>
      <c r="KP96" s="4">
        <v>6375</v>
      </c>
      <c r="KQ96" s="4">
        <v>22679</v>
      </c>
      <c r="KR96" s="10"/>
      <c r="KS96" s="4">
        <v>24786</v>
      </c>
      <c r="KT96" s="4"/>
      <c r="KU96" s="4"/>
      <c r="KV96" s="4">
        <v>20730</v>
      </c>
      <c r="KW96" s="4"/>
      <c r="KX96" s="18"/>
      <c r="KY96" s="4"/>
      <c r="KZ96" s="77">
        <f t="shared" si="80"/>
        <v>3.7139472248738578E-2</v>
      </c>
      <c r="LA96" s="8">
        <f t="shared" si="97"/>
        <v>486742</v>
      </c>
      <c r="LB96" s="2"/>
      <c r="LC96" s="43"/>
      <c r="LD96" s="1">
        <v>3738</v>
      </c>
      <c r="LF96" s="1">
        <v>9404</v>
      </c>
      <c r="LG96" s="1">
        <v>16644</v>
      </c>
      <c r="LI96" s="1">
        <v>6287</v>
      </c>
      <c r="LJ96" s="1">
        <v>6890</v>
      </c>
      <c r="LL96" s="1">
        <v>15480</v>
      </c>
      <c r="LM96" s="1">
        <v>13063</v>
      </c>
      <c r="LQ96" s="1">
        <v>8095</v>
      </c>
      <c r="LU96" s="1">
        <v>8385</v>
      </c>
      <c r="LY96" s="1">
        <v>6579</v>
      </c>
      <c r="MD96" s="1">
        <v>15072</v>
      </c>
      <c r="ME96" s="1">
        <v>9286</v>
      </c>
      <c r="MI96" s="1">
        <v>21716</v>
      </c>
      <c r="ML96" s="1">
        <v>7813</v>
      </c>
      <c r="MM96" s="1">
        <v>6831</v>
      </c>
      <c r="MN96" s="1">
        <v>9199</v>
      </c>
      <c r="MO96" s="172"/>
      <c r="MQ96" s="1">
        <v>8152</v>
      </c>
      <c r="MT96" s="1">
        <v>14582</v>
      </c>
      <c r="MV96" s="1">
        <v>22768</v>
      </c>
      <c r="MW96" s="1">
        <v>8446</v>
      </c>
      <c r="MX96" s="1">
        <v>14720</v>
      </c>
      <c r="NC96" s="1">
        <v>16290</v>
      </c>
      <c r="ND96" s="1">
        <v>16526</v>
      </c>
      <c r="NF96" s="1">
        <v>13405</v>
      </c>
      <c r="NG96" s="1">
        <v>10384</v>
      </c>
      <c r="NH96" s="1">
        <v>5177</v>
      </c>
      <c r="NM96" s="1">
        <v>6375</v>
      </c>
      <c r="NN96" s="1">
        <v>9071</v>
      </c>
      <c r="NO96" s="77"/>
      <c r="NP96" s="63"/>
      <c r="NQ96"/>
      <c r="NR96" s="77">
        <f t="shared" si="81"/>
        <v>2.1403608074399259E-2</v>
      </c>
      <c r="NS96" s="8">
        <f t="shared" si="84"/>
        <v>310378</v>
      </c>
      <c r="NT96" s="2"/>
      <c r="NU96" s="7"/>
      <c r="NV96" s="4">
        <v>769</v>
      </c>
      <c r="NW96" s="4"/>
      <c r="NX96" s="4"/>
      <c r="NY96" s="4"/>
      <c r="NZ96" s="4"/>
      <c r="OA96" s="4">
        <v>12753</v>
      </c>
      <c r="OB96" s="4">
        <v>12184</v>
      </c>
      <c r="OC96" s="4"/>
      <c r="OD96" s="4"/>
      <c r="OE96" s="77">
        <f t="shared" si="82"/>
        <v>2.9887820512820514E-2</v>
      </c>
      <c r="OF96" s="8">
        <f t="shared" si="71"/>
        <v>25706</v>
      </c>
      <c r="OG96" s="2"/>
      <c r="OI96" s="1">
        <v>488</v>
      </c>
      <c r="OJ96" s="40"/>
      <c r="OK96" s="40"/>
      <c r="OL96" s="40"/>
      <c r="OM96" s="40"/>
      <c r="ON96" s="40"/>
      <c r="OO96" s="40"/>
      <c r="OP96" s="1">
        <v>20932</v>
      </c>
      <c r="OQ96" s="40"/>
      <c r="OR96" s="77">
        <f t="shared" si="83"/>
        <v>2.4047425539035234E-2</v>
      </c>
      <c r="OS96" s="8">
        <f t="shared" si="85"/>
        <v>21420</v>
      </c>
      <c r="OT96" s="37"/>
      <c r="OU96" s="126">
        <f t="shared" si="65"/>
        <v>700004</v>
      </c>
      <c r="OV96" s="71">
        <f t="shared" si="73"/>
        <v>0.10089832790226595</v>
      </c>
      <c r="OW96" s="139">
        <f>IF(A96="","",SUM(Z$17:Z96))</f>
        <v>20000</v>
      </c>
      <c r="OX96" s="139">
        <f t="shared" si="87"/>
        <v>724290</v>
      </c>
      <c r="OY96" s="132">
        <f t="shared" si="88"/>
        <v>1.4996027124857586E-2</v>
      </c>
      <c r="OZ96" s="140">
        <f t="shared" si="66"/>
        <v>1066984</v>
      </c>
      <c r="PA96" s="84">
        <f t="shared" si="77"/>
        <v>4.1846331708536431E-2</v>
      </c>
      <c r="PB96" s="130">
        <f>IF(A96="","",SUM(HB$17:HB96)+SUM(KY$17:KY96))</f>
        <v>115756.47</v>
      </c>
      <c r="PC96" s="131">
        <f t="shared" si="89"/>
        <v>846656.47</v>
      </c>
      <c r="PD96" s="132">
        <f t="shared" si="90"/>
        <v>0.2818009874023687</v>
      </c>
      <c r="PE96" s="133">
        <f t="shared" si="67"/>
        <v>730900</v>
      </c>
      <c r="PF96" s="84">
        <f t="shared" si="69"/>
        <v>5.1209991744499452E-2</v>
      </c>
      <c r="PG96" s="133">
        <f t="shared" si="68"/>
        <v>1036088</v>
      </c>
      <c r="PH96" s="84">
        <f t="shared" si="70"/>
        <v>7.4020247086604707E-2</v>
      </c>
      <c r="PI96" s="135">
        <f t="shared" si="91"/>
        <v>1766988</v>
      </c>
      <c r="PJ96" s="136">
        <f t="shared" si="74"/>
        <v>6.4465992279406456E-2</v>
      </c>
      <c r="PK96" s="123">
        <f t="shared" si="72"/>
        <v>-8.9596404319319922E-2</v>
      </c>
      <c r="PL96" s="137">
        <f t="shared" si="92"/>
        <v>135756.47</v>
      </c>
      <c r="PM96" s="9">
        <f t="shared" si="93"/>
        <v>1570946.47</v>
      </c>
      <c r="PN96" s="138">
        <f t="shared" si="94"/>
        <v>0.14324651592667251</v>
      </c>
      <c r="PO96" s="86">
        <f>IF(PI96="","",MAX(PI$15:PI96))</f>
        <v>1940884.25</v>
      </c>
      <c r="PP96" s="113">
        <f t="shared" si="75"/>
        <v>-9.8413939426866506E-2</v>
      </c>
      <c r="PQ96" s="41"/>
      <c r="PR96" s="302"/>
    </row>
    <row r="97" spans="1:434" s="1" customFormat="1" ht="15" customHeight="1" x14ac:dyDescent="0.45">
      <c r="A97" s="18">
        <v>45018</v>
      </c>
      <c r="B97" s="3"/>
      <c r="C97" s="4">
        <v>2477</v>
      </c>
      <c r="D97" s="10"/>
      <c r="E97" s="10"/>
      <c r="F97" s="10"/>
      <c r="G97" s="4"/>
      <c r="H97" s="4"/>
      <c r="I97" s="4">
        <v>35096</v>
      </c>
      <c r="J97" s="4">
        <v>19516</v>
      </c>
      <c r="K97" s="4">
        <v>17406</v>
      </c>
      <c r="L97" s="4">
        <v>20850</v>
      </c>
      <c r="M97" s="4">
        <v>23064</v>
      </c>
      <c r="N97" s="4"/>
      <c r="O97" s="10"/>
      <c r="P97" s="4">
        <v>67725</v>
      </c>
      <c r="Q97" s="4"/>
      <c r="R97" s="4"/>
      <c r="S97" s="4">
        <v>13551</v>
      </c>
      <c r="T97" s="4">
        <v>7647</v>
      </c>
      <c r="U97" s="10"/>
      <c r="V97" s="10"/>
      <c r="W97" s="10"/>
      <c r="X97" s="4"/>
      <c r="Y97" s="18" t="str">
        <f t="shared" si="64"/>
        <v/>
      </c>
      <c r="Z97" s="4"/>
      <c r="AA97" s="77">
        <f t="shared" si="78"/>
        <v>9.8622297583721916E-2</v>
      </c>
      <c r="AB97" s="8">
        <f t="shared" si="95"/>
        <v>207332</v>
      </c>
      <c r="AC97" s="2"/>
      <c r="AD97" s="3"/>
      <c r="AE97" s="4">
        <v>7506</v>
      </c>
      <c r="AF97" s="4">
        <f>29488+24548+24864</f>
        <v>78900</v>
      </c>
      <c r="AG97" s="4"/>
      <c r="AH97" s="4"/>
      <c r="AI97" s="1">
        <v>10359</v>
      </c>
      <c r="AJ97" s="4"/>
      <c r="AK97" s="4"/>
      <c r="AL97" s="4">
        <v>22123</v>
      </c>
      <c r="AM97" s="4"/>
      <c r="AN97" s="1">
        <v>5839</v>
      </c>
      <c r="AO97" s="4"/>
      <c r="AP97" s="10"/>
      <c r="AQ97" s="4"/>
      <c r="AR97" s="4"/>
      <c r="AS97" s="4"/>
      <c r="AT97" s="4">
        <v>96030</v>
      </c>
      <c r="AU97" s="4"/>
      <c r="AV97" s="1">
        <v>2706</v>
      </c>
      <c r="AW97" s="4"/>
      <c r="AX97" s="4"/>
      <c r="AY97" s="4"/>
      <c r="AZ97" s="4"/>
      <c r="BA97" s="4"/>
      <c r="BB97" s="4"/>
      <c r="BC97" s="4"/>
      <c r="BD97" s="4"/>
      <c r="BE97" s="4">
        <v>16597</v>
      </c>
      <c r="BF97" s="4"/>
      <c r="BG97" s="1">
        <v>6237</v>
      </c>
      <c r="BH97" s="4"/>
      <c r="BI97" s="4"/>
      <c r="BJ97" s="4">
        <v>22134</v>
      </c>
      <c r="BK97" s="4"/>
      <c r="BL97" s="4"/>
      <c r="BM97" s="4"/>
      <c r="BN97" s="4"/>
      <c r="BO97" s="4"/>
      <c r="BP97" s="4"/>
      <c r="BQ97" s="4"/>
      <c r="BR97" s="1">
        <v>9615</v>
      </c>
      <c r="BS97" s="10"/>
      <c r="BT97" s="4"/>
      <c r="BU97" s="4"/>
      <c r="BV97" s="4"/>
      <c r="BW97" s="4"/>
      <c r="BX97" s="1">
        <v>6870</v>
      </c>
      <c r="BY97" s="1">
        <v>9665</v>
      </c>
      <c r="BZ97" s="1">
        <v>7642</v>
      </c>
      <c r="CA97" s="4"/>
      <c r="CB97" s="4"/>
      <c r="CC97" s="4"/>
      <c r="CD97" s="4"/>
      <c r="CE97" s="4"/>
      <c r="CF97" s="4">
        <v>82659</v>
      </c>
      <c r="CG97" s="4"/>
      <c r="CH97" s="4">
        <v>23630</v>
      </c>
      <c r="CI97" s="4"/>
      <c r="CJ97" s="10"/>
      <c r="CK97" s="4"/>
      <c r="CL97" s="10"/>
      <c r="CM97" s="1">
        <v>10163</v>
      </c>
      <c r="CN97" s="4"/>
      <c r="CO97" s="10"/>
      <c r="CP97" s="4"/>
      <c r="CQ97" s="4">
        <v>12456</v>
      </c>
      <c r="CR97" s="10"/>
      <c r="CS97" s="4"/>
      <c r="CT97" s="4"/>
      <c r="CU97" s="4">
        <v>5881</v>
      </c>
      <c r="CV97" s="4">
        <v>24476</v>
      </c>
      <c r="CW97" s="4"/>
      <c r="CX97" s="4"/>
      <c r="CY97" s="77">
        <f t="shared" si="76"/>
        <v>-5.7926281580193688E-2</v>
      </c>
      <c r="CZ97" s="8">
        <f t="shared" si="96"/>
        <v>461488</v>
      </c>
      <c r="DA97" s="2"/>
      <c r="DD97" s="1">
        <v>16441</v>
      </c>
      <c r="DE97" s="1">
        <v>15310</v>
      </c>
      <c r="DF97" s="1">
        <v>12888</v>
      </c>
      <c r="DH97" s="4"/>
      <c r="DJ97" s="4"/>
      <c r="DL97" s="1">
        <v>15096</v>
      </c>
      <c r="DM97" s="1">
        <v>21258</v>
      </c>
      <c r="DN97" s="1">
        <v>14637</v>
      </c>
      <c r="DP97" s="1">
        <v>22694</v>
      </c>
      <c r="DQ97" s="1">
        <v>14885</v>
      </c>
      <c r="DR97" s="1">
        <v>15994</v>
      </c>
      <c r="DS97" s="1">
        <v>15882</v>
      </c>
      <c r="DU97" s="1">
        <v>13307</v>
      </c>
      <c r="DX97" s="2"/>
      <c r="DY97" s="32"/>
      <c r="DZ97" s="4">
        <v>906</v>
      </c>
      <c r="EA97" s="32"/>
      <c r="EB97" s="32"/>
      <c r="EC97" s="32"/>
      <c r="ED97" s="32"/>
      <c r="EE97" s="4">
        <v>12525</v>
      </c>
      <c r="EF97" s="4">
        <v>12098</v>
      </c>
      <c r="EG97" s="32"/>
      <c r="EH97" s="32"/>
      <c r="EI97" s="32"/>
      <c r="EJ97" s="32"/>
      <c r="EK97" s="5"/>
      <c r="EO97" s="2"/>
      <c r="EQ97" s="468" t="s">
        <v>1</v>
      </c>
      <c r="ER97"/>
      <c r="ES97" s="6"/>
      <c r="ET97" s="10"/>
      <c r="EU97" s="10"/>
      <c r="EV97" s="10"/>
      <c r="EW97" s="10"/>
      <c r="EX97" s="4">
        <v>3018</v>
      </c>
      <c r="EY97" s="4"/>
      <c r="EZ97" s="4"/>
      <c r="FA97" s="4"/>
      <c r="FB97" s="4"/>
      <c r="FC97" s="4">
        <v>10329</v>
      </c>
      <c r="FD97" s="4"/>
      <c r="FE97" s="4"/>
      <c r="FF97" s="4"/>
      <c r="FG97" s="4"/>
      <c r="FH97" s="10"/>
      <c r="FI97" s="10"/>
      <c r="FJ97" s="10"/>
      <c r="FK97" s="10"/>
      <c r="FL97" s="10"/>
      <c r="FM97" s="10"/>
      <c r="FN97" s="4">
        <v>10013</v>
      </c>
      <c r="FO97" s="4"/>
      <c r="FP97" s="10"/>
      <c r="FQ97" s="4"/>
      <c r="FR97" s="4"/>
      <c r="FS97" s="10"/>
      <c r="FT97" s="4">
        <v>35096</v>
      </c>
      <c r="FU97" s="4">
        <v>19516</v>
      </c>
      <c r="FV97" s="4"/>
      <c r="FW97" s="4">
        <v>17406</v>
      </c>
      <c r="FX97" s="4"/>
      <c r="FY97" s="4">
        <v>20850</v>
      </c>
      <c r="FZ97" s="10"/>
      <c r="GA97" s="10"/>
      <c r="GB97" s="10"/>
      <c r="GC97" s="10"/>
      <c r="GD97" s="4">
        <v>23064</v>
      </c>
      <c r="GE97" s="4">
        <v>18301</v>
      </c>
      <c r="GF97" s="4"/>
      <c r="GG97" s="4"/>
      <c r="GH97" s="4"/>
      <c r="GI97" s="4">
        <v>14869</v>
      </c>
      <c r="GJ97" s="4"/>
      <c r="GK97" s="4"/>
      <c r="GL97" s="4"/>
      <c r="GM97" s="4">
        <v>26033</v>
      </c>
      <c r="GN97" s="10"/>
      <c r="GO97" s="10"/>
      <c r="GP97" s="4"/>
      <c r="GQ97" s="10"/>
      <c r="GR97" s="4">
        <v>18113</v>
      </c>
      <c r="GS97" s="10"/>
      <c r="GT97" s="4">
        <v>13551</v>
      </c>
      <c r="GU97" s="10"/>
      <c r="GV97" s="4">
        <v>7647</v>
      </c>
      <c r="GW97" s="10"/>
      <c r="GX97" s="10"/>
      <c r="GY97" s="10"/>
      <c r="GZ97" s="10"/>
      <c r="HA97" s="18"/>
      <c r="HB97" s="4"/>
      <c r="HC97" s="77">
        <f t="shared" si="79"/>
        <v>-2.6015940497546672E-2</v>
      </c>
      <c r="HD97" s="8">
        <f t="shared" si="86"/>
        <v>237806</v>
      </c>
      <c r="HE97" s="2"/>
      <c r="HF97" s="3"/>
      <c r="HG97" s="4">
        <f>12725+436</f>
        <v>13161</v>
      </c>
      <c r="HH97" s="4"/>
      <c r="HI97" s="4">
        <v>23906</v>
      </c>
      <c r="HJ97" s="4"/>
      <c r="HK97" s="4"/>
      <c r="HL97" s="4"/>
      <c r="HM97" s="4"/>
      <c r="HN97" s="4">
        <v>22123</v>
      </c>
      <c r="HO97" s="4"/>
      <c r="HP97" s="4"/>
      <c r="HQ97" s="4">
        <v>22495</v>
      </c>
      <c r="HR97" s="4">
        <v>22720</v>
      </c>
      <c r="HS97" s="4"/>
      <c r="HT97" s="10"/>
      <c r="HU97" s="10"/>
      <c r="HV97" s="4">
        <v>14906</v>
      </c>
      <c r="HW97" s="4"/>
      <c r="HX97" s="4"/>
      <c r="HY97" s="4"/>
      <c r="HZ97" s="4">
        <v>22478</v>
      </c>
      <c r="IA97" s="4">
        <v>19802</v>
      </c>
      <c r="IB97" s="4"/>
      <c r="IC97" s="4">
        <v>20515</v>
      </c>
      <c r="ID97" s="10"/>
      <c r="IE97" s="4">
        <v>21079</v>
      </c>
      <c r="IF97" s="10"/>
      <c r="IG97" s="4">
        <v>17195</v>
      </c>
      <c r="IH97" s="4"/>
      <c r="II97" s="4"/>
      <c r="IJ97" s="4"/>
      <c r="IK97" s="4"/>
      <c r="IL97" s="4"/>
      <c r="IM97" s="4">
        <v>16597</v>
      </c>
      <c r="IN97" s="4"/>
      <c r="IO97" s="4"/>
      <c r="IP97" s="4">
        <v>22134</v>
      </c>
      <c r="IQ97" s="4"/>
      <c r="IR97" s="4"/>
      <c r="IS97" s="4"/>
      <c r="IT97" s="10"/>
      <c r="IU97" s="4"/>
      <c r="IV97" s="4"/>
      <c r="IW97" s="4"/>
      <c r="IX97" s="10"/>
      <c r="IY97" s="4"/>
      <c r="IZ97" s="4">
        <v>18609</v>
      </c>
      <c r="JA97" s="4"/>
      <c r="JB97" s="4"/>
      <c r="JC97" s="4"/>
      <c r="JD97" s="4"/>
      <c r="JE97" s="4"/>
      <c r="JF97" s="10"/>
      <c r="JG97" s="10"/>
      <c r="JH97" s="10"/>
      <c r="JI97" s="4"/>
      <c r="JJ97" s="4"/>
      <c r="JK97" s="4">
        <v>14715</v>
      </c>
      <c r="JL97" s="4"/>
      <c r="JM97" s="4"/>
      <c r="JN97" s="10">
        <v>21462</v>
      </c>
      <c r="JO97" s="10"/>
      <c r="JP97" s="4"/>
      <c r="JQ97" s="4"/>
      <c r="JR97" s="4"/>
      <c r="JS97" s="4">
        <v>15285</v>
      </c>
      <c r="JT97" s="4"/>
      <c r="JU97" s="10"/>
      <c r="JV97" s="4"/>
      <c r="JW97" s="4"/>
      <c r="JX97" s="4">
        <v>23630</v>
      </c>
      <c r="JY97" s="4"/>
      <c r="JZ97" s="4"/>
      <c r="KA97" s="4"/>
      <c r="KB97" s="4"/>
      <c r="KC97" s="4">
        <v>19164</v>
      </c>
      <c r="KD97" s="10"/>
      <c r="KE97" s="10"/>
      <c r="KF97" s="10"/>
      <c r="KG97" s="4">
        <v>15810</v>
      </c>
      <c r="KH97" s="10"/>
      <c r="KI97" s="10"/>
      <c r="KJ97" s="10"/>
      <c r="KK97" s="10"/>
      <c r="KL97" s="4">
        <v>12456</v>
      </c>
      <c r="KM97" s="10"/>
      <c r="KN97" s="4"/>
      <c r="KO97" s="4"/>
      <c r="KP97" s="4">
        <v>5881</v>
      </c>
      <c r="KQ97" s="4">
        <v>24476</v>
      </c>
      <c r="KR97" s="10"/>
      <c r="KS97" s="4">
        <v>21701</v>
      </c>
      <c r="KT97" s="4"/>
      <c r="KU97" s="4"/>
      <c r="KV97" s="4">
        <v>18460</v>
      </c>
      <c r="KW97" s="4"/>
      <c r="KX97" s="18"/>
      <c r="KY97" s="4"/>
      <c r="KZ97" s="77">
        <f t="shared" si="80"/>
        <v>-3.2834643404514093E-2</v>
      </c>
      <c r="LA97" s="8">
        <f t="shared" si="97"/>
        <v>470760</v>
      </c>
      <c r="LB97" s="2"/>
      <c r="LC97" s="43"/>
      <c r="LD97" s="1">
        <f>2808+137</f>
        <v>2945</v>
      </c>
      <c r="LF97" s="1">
        <v>10359</v>
      </c>
      <c r="LG97" s="1">
        <v>16441</v>
      </c>
      <c r="LI97" s="1">
        <v>5839</v>
      </c>
      <c r="LJ97" s="1">
        <v>6702</v>
      </c>
      <c r="LL97" s="1">
        <v>15310</v>
      </c>
      <c r="LM97" s="1">
        <v>12888</v>
      </c>
      <c r="LQ97" s="1">
        <v>7781</v>
      </c>
      <c r="LR97" s="1">
        <v>2706</v>
      </c>
      <c r="LU97" s="1">
        <v>8332</v>
      </c>
      <c r="LY97" s="1">
        <v>6237</v>
      </c>
      <c r="MD97" s="1">
        <v>15096</v>
      </c>
      <c r="ME97" s="1">
        <v>9615</v>
      </c>
      <c r="MI97" s="1">
        <v>21258</v>
      </c>
      <c r="ML97" s="1">
        <v>7931</v>
      </c>
      <c r="MM97" s="1">
        <v>6870</v>
      </c>
      <c r="MN97" s="1">
        <v>9665</v>
      </c>
      <c r="MO97" s="172"/>
      <c r="MQ97" s="1">
        <v>7642</v>
      </c>
      <c r="MT97" s="1">
        <v>14637</v>
      </c>
      <c r="MV97" s="1">
        <v>22694</v>
      </c>
      <c r="MW97" s="1">
        <v>8336</v>
      </c>
      <c r="MX97" s="1">
        <v>14885</v>
      </c>
      <c r="NC97" s="1">
        <v>15994</v>
      </c>
      <c r="ND97" s="1">
        <v>15882</v>
      </c>
      <c r="NF97" s="1">
        <v>13307</v>
      </c>
      <c r="NG97" s="1">
        <v>10163</v>
      </c>
      <c r="NH97" s="1">
        <v>4567</v>
      </c>
      <c r="NM97" s="1">
        <v>5881</v>
      </c>
      <c r="NN97" s="1">
        <v>9790</v>
      </c>
      <c r="NO97" s="77"/>
      <c r="NP97" s="63"/>
      <c r="NQ97"/>
      <c r="NR97" s="77">
        <f t="shared" si="81"/>
        <v>-2.0136736495499036E-3</v>
      </c>
      <c r="NS97" s="8">
        <f t="shared" si="84"/>
        <v>309753</v>
      </c>
      <c r="NT97" s="2"/>
      <c r="NU97" s="7"/>
      <c r="NV97" s="4">
        <v>906</v>
      </c>
      <c r="NW97" s="4"/>
      <c r="NX97" s="4"/>
      <c r="NY97" s="4"/>
      <c r="NZ97" s="4"/>
      <c r="OA97" s="4">
        <v>12525</v>
      </c>
      <c r="OB97" s="4">
        <v>12098</v>
      </c>
      <c r="OC97" s="4"/>
      <c r="OD97" s="4"/>
      <c r="OE97" s="77">
        <f t="shared" si="82"/>
        <v>-6.8855520112036097E-3</v>
      </c>
      <c r="OF97" s="8">
        <f t="shared" si="71"/>
        <v>25529</v>
      </c>
      <c r="OG97" s="2"/>
      <c r="OI97" s="1">
        <v>492</v>
      </c>
      <c r="OJ97" s="40"/>
      <c r="OK97" s="40"/>
      <c r="OL97" s="40"/>
      <c r="OM97" s="40"/>
      <c r="ON97" s="40"/>
      <c r="OO97" s="40"/>
      <c r="OP97" s="1">
        <v>20639</v>
      </c>
      <c r="OQ97" s="40"/>
      <c r="OR97" s="77">
        <f t="shared" si="83"/>
        <v>-1.3492063492063493E-2</v>
      </c>
      <c r="OS97" s="8">
        <f t="shared" si="85"/>
        <v>21131</v>
      </c>
      <c r="OT97" s="37"/>
      <c r="OU97" s="126">
        <f t="shared" si="65"/>
        <v>689951</v>
      </c>
      <c r="OV97" s="71">
        <f t="shared" si="73"/>
        <v>-1.4361346506591391E-2</v>
      </c>
      <c r="OW97" s="139">
        <f>IF(A97="","",SUM(Z$17:Z97))</f>
        <v>20000</v>
      </c>
      <c r="OX97" s="139">
        <f t="shared" si="87"/>
        <v>714349</v>
      </c>
      <c r="OY97" s="132">
        <f t="shared" si="88"/>
        <v>1.065038838883447E-3</v>
      </c>
      <c r="OZ97" s="140">
        <f t="shared" si="66"/>
        <v>1043848</v>
      </c>
      <c r="PA97" s="84">
        <f t="shared" si="77"/>
        <v>-2.1683549144129621E-2</v>
      </c>
      <c r="PB97" s="130">
        <f>IF(A97="","",SUM(HB$17:HB97)+SUM(KY$17:KY97))</f>
        <v>115756.47</v>
      </c>
      <c r="PC97" s="131">
        <f t="shared" si="89"/>
        <v>824322.47</v>
      </c>
      <c r="PD97" s="132">
        <f t="shared" si="90"/>
        <v>0.24798828500532152</v>
      </c>
      <c r="PE97" s="133">
        <f t="shared" si="67"/>
        <v>708566</v>
      </c>
      <c r="PF97" s="84">
        <f t="shared" si="69"/>
        <v>-3.0556847721986594E-2</v>
      </c>
      <c r="PG97" s="133">
        <f t="shared" si="68"/>
        <v>1025233</v>
      </c>
      <c r="PH97" s="84">
        <f t="shared" si="70"/>
        <v>-1.0476909297279768E-2</v>
      </c>
      <c r="PI97" s="135">
        <f t="shared" si="91"/>
        <v>1733799</v>
      </c>
      <c r="PJ97" s="136">
        <f t="shared" si="74"/>
        <v>-1.8782810070017454E-2</v>
      </c>
      <c r="PK97" s="123">
        <f t="shared" si="72"/>
        <v>-7.7958254426871862E-2</v>
      </c>
      <c r="PL97" s="137">
        <f t="shared" si="92"/>
        <v>135756.47</v>
      </c>
      <c r="PM97" s="9">
        <f t="shared" si="93"/>
        <v>1538671.47</v>
      </c>
      <c r="PN97" s="138">
        <f t="shared" si="94"/>
        <v>0.119758585557197</v>
      </c>
      <c r="PO97" s="86">
        <f>IF(PI97="","",MAX(PI$15:PI97))</f>
        <v>1940884.25</v>
      </c>
      <c r="PP97" s="113">
        <f t="shared" si="75"/>
        <v>-0.11944017155391139</v>
      </c>
      <c r="PQ97" s="41"/>
      <c r="PR97" s="302"/>
    </row>
    <row r="98" spans="1:434" s="1" customFormat="1" ht="15" customHeight="1" x14ac:dyDescent="0.45">
      <c r="A98" s="18">
        <v>45049</v>
      </c>
      <c r="B98" s="3"/>
      <c r="C98" s="4">
        <v>2486</v>
      </c>
      <c r="D98" s="10"/>
      <c r="E98" s="10"/>
      <c r="F98" s="10"/>
      <c r="G98" s="4"/>
      <c r="H98" s="4"/>
      <c r="I98" s="4">
        <v>35800</v>
      </c>
      <c r="J98" s="4">
        <v>19172</v>
      </c>
      <c r="K98" s="4">
        <v>16606</v>
      </c>
      <c r="L98" s="4">
        <v>21757</v>
      </c>
      <c r="M98" s="4">
        <v>24352</v>
      </c>
      <c r="N98" s="4"/>
      <c r="O98" s="10"/>
      <c r="P98" s="4">
        <v>67934</v>
      </c>
      <c r="Q98" s="4"/>
      <c r="R98" s="4"/>
      <c r="S98" s="4">
        <v>13776</v>
      </c>
      <c r="T98" s="4">
        <v>7689</v>
      </c>
      <c r="U98" s="10"/>
      <c r="V98" s="10"/>
      <c r="W98" s="10"/>
      <c r="X98" s="4"/>
      <c r="Y98" s="18" t="str">
        <f t="shared" si="64"/>
        <v/>
      </c>
      <c r="Z98" s="4"/>
      <c r="AA98" s="77">
        <f t="shared" si="78"/>
        <v>1.0803927999536974E-2</v>
      </c>
      <c r="AB98" s="8">
        <f t="shared" si="95"/>
        <v>209572</v>
      </c>
      <c r="AC98" s="2"/>
      <c r="AD98" s="3"/>
      <c r="AE98" s="4">
        <v>7972</v>
      </c>
      <c r="AF98" s="4">
        <f>29543+24589+24901</f>
        <v>79033</v>
      </c>
      <c r="AG98" s="4"/>
      <c r="AH98" s="4"/>
      <c r="AI98" s="1">
        <v>9701</v>
      </c>
      <c r="AJ98" s="4"/>
      <c r="AK98" s="4"/>
      <c r="AL98" s="4">
        <v>24098</v>
      </c>
      <c r="AM98" s="4"/>
      <c r="AN98" s="1">
        <v>5777</v>
      </c>
      <c r="AO98" s="4"/>
      <c r="AP98" s="10"/>
      <c r="AQ98" s="4"/>
      <c r="AR98" s="4"/>
      <c r="AS98" s="4"/>
      <c r="AT98" s="4">
        <v>93858</v>
      </c>
      <c r="AU98" s="4"/>
      <c r="AV98" s="1">
        <v>2810</v>
      </c>
      <c r="AW98" s="4"/>
      <c r="AX98" s="4"/>
      <c r="AY98" s="4"/>
      <c r="AZ98" s="4"/>
      <c r="BA98" s="4"/>
      <c r="BB98" s="4"/>
      <c r="BC98" s="4"/>
      <c r="BD98" s="4"/>
      <c r="BE98" s="4">
        <v>16866</v>
      </c>
      <c r="BF98" s="4"/>
      <c r="BG98" s="1">
        <v>5892</v>
      </c>
      <c r="BH98" s="4"/>
      <c r="BI98" s="4"/>
      <c r="BJ98" s="4">
        <v>21981</v>
      </c>
      <c r="BK98" s="4"/>
      <c r="BL98" s="4"/>
      <c r="BM98" s="4"/>
      <c r="BN98" s="4"/>
      <c r="BO98" s="4"/>
      <c r="BP98" s="4"/>
      <c r="BQ98" s="4"/>
      <c r="BR98" s="1">
        <v>9866</v>
      </c>
      <c r="BS98" s="10"/>
      <c r="BT98" s="4"/>
      <c r="BU98" s="4"/>
      <c r="BV98" s="4"/>
      <c r="BW98" s="4"/>
      <c r="BX98" s="1">
        <v>6953</v>
      </c>
      <c r="BY98" s="1">
        <v>10155</v>
      </c>
      <c r="BZ98" s="1">
        <v>7835</v>
      </c>
      <c r="CA98" s="4"/>
      <c r="CB98" s="4"/>
      <c r="CC98" s="4"/>
      <c r="CD98" s="4"/>
      <c r="CE98" s="4"/>
      <c r="CF98" s="4">
        <v>83089</v>
      </c>
      <c r="CG98" s="4"/>
      <c r="CH98" s="4">
        <v>24472</v>
      </c>
      <c r="CI98" s="4"/>
      <c r="CJ98" s="10"/>
      <c r="CK98" s="4"/>
      <c r="CL98" s="10"/>
      <c r="CM98" s="1">
        <v>10332</v>
      </c>
      <c r="CN98" s="4"/>
      <c r="CO98" s="10"/>
      <c r="CP98" s="4"/>
      <c r="CQ98" s="4">
        <v>12144</v>
      </c>
      <c r="CR98" s="10"/>
      <c r="CS98" s="4"/>
      <c r="CT98" s="4"/>
      <c r="CU98" s="4">
        <v>11514</v>
      </c>
      <c r="CV98" s="4">
        <v>25098</v>
      </c>
      <c r="CW98" s="4"/>
      <c r="CX98" s="4"/>
      <c r="CY98" s="77">
        <f t="shared" si="76"/>
        <v>1.7244218701244669E-2</v>
      </c>
      <c r="CZ98" s="8">
        <f t="shared" si="96"/>
        <v>469446</v>
      </c>
      <c r="DA98" s="2"/>
      <c r="DD98" s="1">
        <v>16515</v>
      </c>
      <c r="DE98" s="1">
        <v>15460</v>
      </c>
      <c r="DF98" s="1">
        <v>12980</v>
      </c>
      <c r="DH98" s="4"/>
      <c r="DJ98" s="4"/>
      <c r="DL98" s="1">
        <v>15063</v>
      </c>
      <c r="DM98" s="1">
        <v>21443</v>
      </c>
      <c r="DN98" s="1">
        <v>14637</v>
      </c>
      <c r="DP98" s="1">
        <v>22910</v>
      </c>
      <c r="DQ98" s="1">
        <v>14838</v>
      </c>
      <c r="DR98" s="1">
        <v>16068</v>
      </c>
      <c r="DS98" s="1">
        <v>15820</v>
      </c>
      <c r="DU98" s="1">
        <v>13382</v>
      </c>
      <c r="DX98" s="2"/>
      <c r="DY98" s="32"/>
      <c r="DZ98" s="4">
        <v>947</v>
      </c>
      <c r="EA98" s="32"/>
      <c r="EB98" s="32"/>
      <c r="EC98" s="32"/>
      <c r="ED98" s="32"/>
      <c r="EE98" s="4">
        <v>12581</v>
      </c>
      <c r="EF98" s="4">
        <v>12166</v>
      </c>
      <c r="EG98" s="32"/>
      <c r="EH98" s="32"/>
      <c r="EI98" s="32"/>
      <c r="EJ98" s="32"/>
      <c r="EK98" s="5"/>
      <c r="EO98" s="2"/>
      <c r="EQ98" s="468" t="s">
        <v>1</v>
      </c>
      <c r="ER98"/>
      <c r="ES98" s="6"/>
      <c r="ET98" s="10"/>
      <c r="EU98" s="10"/>
      <c r="EV98" s="10"/>
      <c r="EW98" s="10"/>
      <c r="EX98" s="4">
        <v>2593</v>
      </c>
      <c r="EY98" s="4"/>
      <c r="EZ98" s="4"/>
      <c r="FA98" s="4"/>
      <c r="FB98" s="4"/>
      <c r="FC98" s="4">
        <v>10365</v>
      </c>
      <c r="FD98" s="4"/>
      <c r="FE98" s="4"/>
      <c r="FF98" s="4"/>
      <c r="FG98" s="4"/>
      <c r="FH98" s="10"/>
      <c r="FI98" s="10"/>
      <c r="FJ98" s="10"/>
      <c r="FK98" s="10"/>
      <c r="FL98" s="10"/>
      <c r="FM98" s="10"/>
      <c r="FN98" s="4">
        <v>10086</v>
      </c>
      <c r="FO98" s="4"/>
      <c r="FP98" s="10"/>
      <c r="FQ98" s="4"/>
      <c r="FR98" s="4"/>
      <c r="FS98" s="10"/>
      <c r="FT98" s="4">
        <v>35800</v>
      </c>
      <c r="FU98" s="4">
        <v>19172</v>
      </c>
      <c r="FV98" s="4"/>
      <c r="FW98" s="4">
        <v>16606</v>
      </c>
      <c r="FX98" s="4"/>
      <c r="FY98" s="4">
        <v>21757</v>
      </c>
      <c r="FZ98" s="10"/>
      <c r="GA98" s="10"/>
      <c r="GB98" s="10"/>
      <c r="GC98" s="10"/>
      <c r="GD98" s="4">
        <v>24352</v>
      </c>
      <c r="GE98" s="4">
        <v>19590</v>
      </c>
      <c r="GF98" s="4"/>
      <c r="GG98" s="4"/>
      <c r="GH98" s="4"/>
      <c r="GI98" s="4">
        <v>15623</v>
      </c>
      <c r="GJ98" s="4"/>
      <c r="GK98" s="4"/>
      <c r="GL98" s="4"/>
      <c r="GM98" s="4">
        <v>25990</v>
      </c>
      <c r="GN98" s="10"/>
      <c r="GO98" s="10"/>
      <c r="GP98" s="4"/>
      <c r="GQ98" s="10"/>
      <c r="GR98" s="4">
        <v>17580</v>
      </c>
      <c r="GS98" s="10"/>
      <c r="GT98" s="4">
        <v>13776</v>
      </c>
      <c r="GU98" s="10"/>
      <c r="GV98" s="4">
        <v>7689</v>
      </c>
      <c r="GW98" s="10"/>
      <c r="GX98" s="10"/>
      <c r="GY98" s="10"/>
      <c r="GZ98" s="10"/>
      <c r="HA98" s="18"/>
      <c r="HB98" s="4"/>
      <c r="HC98" s="77">
        <f t="shared" si="79"/>
        <v>1.3342808844183915E-2</v>
      </c>
      <c r="HD98" s="8">
        <f t="shared" si="86"/>
        <v>240979</v>
      </c>
      <c r="HE98" s="2"/>
      <c r="HF98" s="3"/>
      <c r="HG98" s="4">
        <v>12979</v>
      </c>
      <c r="HH98" s="4"/>
      <c r="HI98" s="4">
        <v>22388</v>
      </c>
      <c r="HJ98" s="4"/>
      <c r="HK98" s="4"/>
      <c r="HL98" s="4"/>
      <c r="HM98" s="4"/>
      <c r="HN98" s="4">
        <v>24098</v>
      </c>
      <c r="HO98" s="4"/>
      <c r="HP98" s="4"/>
      <c r="HQ98" s="4">
        <v>16080</v>
      </c>
      <c r="HR98" s="4">
        <v>20395</v>
      </c>
      <c r="HS98" s="4"/>
      <c r="HT98" s="10"/>
      <c r="HU98" s="10"/>
      <c r="HV98" s="4">
        <v>14702</v>
      </c>
      <c r="HW98" s="4"/>
      <c r="HX98" s="4"/>
      <c r="HY98" s="4"/>
      <c r="HZ98" s="4">
        <v>19763</v>
      </c>
      <c r="IA98" s="4">
        <v>19136</v>
      </c>
      <c r="IB98" s="4"/>
      <c r="IC98" s="4">
        <v>19803</v>
      </c>
      <c r="ID98" s="10"/>
      <c r="IE98" s="4">
        <v>21887</v>
      </c>
      <c r="IF98" s="10"/>
      <c r="IG98" s="4">
        <v>16653</v>
      </c>
      <c r="IH98" s="4"/>
      <c r="II98" s="4"/>
      <c r="IJ98" s="4"/>
      <c r="IK98" s="4"/>
      <c r="IL98" s="4"/>
      <c r="IM98" s="4">
        <v>16866</v>
      </c>
      <c r="IN98" s="4"/>
      <c r="IO98" s="4"/>
      <c r="IP98" s="4">
        <v>21981</v>
      </c>
      <c r="IQ98" s="4"/>
      <c r="IR98" s="4"/>
      <c r="IS98" s="4"/>
      <c r="IT98" s="10"/>
      <c r="IU98" s="4"/>
      <c r="IV98" s="4"/>
      <c r="IW98" s="4"/>
      <c r="IX98" s="10"/>
      <c r="IY98" s="4"/>
      <c r="IZ98" s="4">
        <v>19095</v>
      </c>
      <c r="JA98" s="4"/>
      <c r="JB98" s="4"/>
      <c r="JC98" s="4"/>
      <c r="JD98" s="4"/>
      <c r="JE98" s="4"/>
      <c r="JF98" s="10"/>
      <c r="JG98" s="10"/>
      <c r="JH98" s="10"/>
      <c r="JI98" s="4"/>
      <c r="JJ98" s="4"/>
      <c r="JK98" s="4">
        <v>14396</v>
      </c>
      <c r="JL98" s="4"/>
      <c r="JM98" s="4"/>
      <c r="JN98" s="10">
        <v>22180</v>
      </c>
      <c r="JO98" s="10"/>
      <c r="JP98" s="4"/>
      <c r="JQ98" s="4"/>
      <c r="JR98" s="4"/>
      <c r="JS98" s="4">
        <v>15670</v>
      </c>
      <c r="JT98" s="4"/>
      <c r="JU98" s="10"/>
      <c r="JV98" s="4"/>
      <c r="JW98" s="4"/>
      <c r="JX98" s="4">
        <v>24472</v>
      </c>
      <c r="JY98" s="4"/>
      <c r="JZ98" s="4"/>
      <c r="KA98" s="4"/>
      <c r="KB98" s="4"/>
      <c r="KC98" s="4">
        <v>19208</v>
      </c>
      <c r="KD98" s="10"/>
      <c r="KE98" s="10"/>
      <c r="KF98" s="10"/>
      <c r="KG98" s="4">
        <v>16072</v>
      </c>
      <c r="KH98" s="10"/>
      <c r="KI98" s="10"/>
      <c r="KJ98" s="10"/>
      <c r="KK98" s="10"/>
      <c r="KL98" s="4">
        <v>12144</v>
      </c>
      <c r="KM98" s="10"/>
      <c r="KN98" s="4"/>
      <c r="KO98" s="4"/>
      <c r="KP98" s="4">
        <v>11514</v>
      </c>
      <c r="KQ98" s="4">
        <v>25098</v>
      </c>
      <c r="KR98" s="10"/>
      <c r="KS98" s="4">
        <v>21573</v>
      </c>
      <c r="KT98" s="4"/>
      <c r="KU98" s="4"/>
      <c r="KV98" s="4">
        <v>15205</v>
      </c>
      <c r="KW98" s="4"/>
      <c r="KX98" s="18"/>
      <c r="KY98" s="4"/>
      <c r="KZ98" s="77">
        <f t="shared" si="80"/>
        <v>-1.5723510918514743E-2</v>
      </c>
      <c r="LA98" s="8">
        <f t="shared" si="97"/>
        <v>463358</v>
      </c>
      <c r="LB98" s="2"/>
      <c r="LC98" s="43"/>
      <c r="LD98" s="1">
        <v>3330</v>
      </c>
      <c r="LF98" s="1">
        <v>9701</v>
      </c>
      <c r="LG98" s="1">
        <v>16515</v>
      </c>
      <c r="LI98" s="1">
        <v>5777</v>
      </c>
      <c r="LJ98" s="1">
        <v>6633</v>
      </c>
      <c r="LL98" s="1">
        <v>15460</v>
      </c>
      <c r="LM98" s="1">
        <v>12980</v>
      </c>
      <c r="LQ98" s="1">
        <v>7511</v>
      </c>
      <c r="LR98" s="1">
        <v>2810</v>
      </c>
      <c r="LU98" s="1">
        <v>8385</v>
      </c>
      <c r="LY98" s="1">
        <v>5892</v>
      </c>
      <c r="MD98" s="1">
        <v>15063</v>
      </c>
      <c r="ME98" s="1">
        <v>9866</v>
      </c>
      <c r="MI98" s="1">
        <v>21443</v>
      </c>
      <c r="ML98" s="1">
        <v>8489</v>
      </c>
      <c r="MM98" s="1">
        <v>6953</v>
      </c>
      <c r="MN98" s="1">
        <v>10155</v>
      </c>
      <c r="MO98" s="172"/>
      <c r="MQ98" s="1">
        <v>7835</v>
      </c>
      <c r="MT98" s="1">
        <v>14637</v>
      </c>
      <c r="MV98" s="1">
        <v>22910</v>
      </c>
      <c r="MW98" s="1">
        <v>8224</v>
      </c>
      <c r="MX98" s="1">
        <v>14838</v>
      </c>
      <c r="NC98" s="1">
        <v>16068</v>
      </c>
      <c r="ND98" s="1">
        <v>15820</v>
      </c>
      <c r="NF98" s="1">
        <v>13382</v>
      </c>
      <c r="NG98" s="1">
        <v>10332</v>
      </c>
      <c r="NH98" s="1">
        <v>4453</v>
      </c>
      <c r="NM98" s="1">
        <v>5757</v>
      </c>
      <c r="NN98" s="1">
        <v>10039</v>
      </c>
      <c r="NO98" s="77"/>
      <c r="NP98" s="63"/>
      <c r="NQ98"/>
      <c r="NR98" s="77">
        <f t="shared" si="81"/>
        <v>4.8587100044228792E-3</v>
      </c>
      <c r="NS98" s="8">
        <f t="shared" si="84"/>
        <v>311258</v>
      </c>
      <c r="NT98" s="2"/>
      <c r="NU98" s="7"/>
      <c r="NV98" s="4">
        <v>947</v>
      </c>
      <c r="NW98" s="4"/>
      <c r="NX98" s="4"/>
      <c r="NY98" s="4"/>
      <c r="NZ98" s="4"/>
      <c r="OA98" s="4">
        <v>12581</v>
      </c>
      <c r="OB98" s="4">
        <v>12166</v>
      </c>
      <c r="OC98" s="4"/>
      <c r="OD98" s="4"/>
      <c r="OE98" s="77">
        <f t="shared" si="82"/>
        <v>6.4632378863253553E-3</v>
      </c>
      <c r="OF98" s="8">
        <f t="shared" si="71"/>
        <v>25694</v>
      </c>
      <c r="OG98" s="2"/>
      <c r="OI98" s="1">
        <v>494</v>
      </c>
      <c r="OJ98" s="40"/>
      <c r="OK98" s="40"/>
      <c r="OL98" s="40"/>
      <c r="OM98" s="40"/>
      <c r="ON98" s="40"/>
      <c r="OO98" s="40"/>
      <c r="OP98" s="1">
        <v>20703</v>
      </c>
      <c r="OQ98" s="40"/>
      <c r="OR98" s="77">
        <f t="shared" si="83"/>
        <v>3.1233732431025507E-3</v>
      </c>
      <c r="OS98" s="8">
        <f t="shared" si="85"/>
        <v>21197</v>
      </c>
      <c r="OT98" s="37"/>
      <c r="OU98" s="126">
        <f t="shared" si="65"/>
        <v>700215</v>
      </c>
      <c r="OV98" s="71">
        <f t="shared" si="73"/>
        <v>1.4876418760172825E-2</v>
      </c>
      <c r="OW98" s="139">
        <f>IF(A98="","",SUM(Z$17:Z98))</f>
        <v>20000</v>
      </c>
      <c r="OX98" s="139">
        <f t="shared" si="87"/>
        <v>724712</v>
      </c>
      <c r="OY98" s="132">
        <f t="shared" si="88"/>
        <v>1.5587403953816553E-2</v>
      </c>
      <c r="OZ98" s="140">
        <f t="shared" si="66"/>
        <v>1041289</v>
      </c>
      <c r="PA98" s="84">
        <f t="shared" si="77"/>
        <v>-2.4515063495834642E-3</v>
      </c>
      <c r="PB98" s="130">
        <f>IF(A98="","",SUM(HB$17:HB98)+SUM(KY$17:KY98))</f>
        <v>115756.47</v>
      </c>
      <c r="PC98" s="131">
        <f t="shared" si="89"/>
        <v>820093.47</v>
      </c>
      <c r="PD98" s="132">
        <f t="shared" si="90"/>
        <v>0.24158576335952978</v>
      </c>
      <c r="PE98" s="133">
        <f t="shared" si="67"/>
        <v>704337</v>
      </c>
      <c r="PF98" s="84">
        <f t="shared" si="69"/>
        <v>-5.968392499781248E-3</v>
      </c>
      <c r="PG98" s="133">
        <f t="shared" si="68"/>
        <v>1037167</v>
      </c>
      <c r="PH98" s="84">
        <f t="shared" si="70"/>
        <v>1.1640280794707154E-2</v>
      </c>
      <c r="PI98" s="135">
        <f t="shared" si="91"/>
        <v>1741504</v>
      </c>
      <c r="PJ98" s="136">
        <f t="shared" si="74"/>
        <v>4.443998410427045E-3</v>
      </c>
      <c r="PK98" s="123">
        <f t="shared" si="72"/>
        <v>-5.5040316016799241E-2</v>
      </c>
      <c r="PL98" s="137">
        <f t="shared" si="92"/>
        <v>135756.47</v>
      </c>
      <c r="PM98" s="9">
        <f t="shared" si="93"/>
        <v>1544805.47</v>
      </c>
      <c r="PN98" s="138">
        <f t="shared" si="94"/>
        <v>0.12422256587900531</v>
      </c>
      <c r="PO98" s="86">
        <f>IF(PI98="","",MAX(PI$15:PI98))</f>
        <v>1940884.25</v>
      </c>
      <c r="PP98" s="113">
        <f t="shared" si="75"/>
        <v>-0.11448739135827422</v>
      </c>
      <c r="PQ98" s="41"/>
      <c r="PR98" s="302"/>
    </row>
    <row r="99" spans="1:434" s="1" customFormat="1" ht="15" customHeight="1" x14ac:dyDescent="0.45">
      <c r="A99" s="18">
        <v>45081</v>
      </c>
      <c r="B99" s="3"/>
      <c r="C99" s="4">
        <v>2496</v>
      </c>
      <c r="D99" s="10"/>
      <c r="E99" s="10"/>
      <c r="F99" s="10"/>
      <c r="G99" s="4"/>
      <c r="H99" s="4"/>
      <c r="I99" s="4">
        <v>35637</v>
      </c>
      <c r="J99" s="4">
        <v>19684</v>
      </c>
      <c r="K99" s="4">
        <v>17471</v>
      </c>
      <c r="L99" s="4">
        <v>22475</v>
      </c>
      <c r="M99" s="4">
        <v>26832</v>
      </c>
      <c r="N99" s="4"/>
      <c r="O99" s="10"/>
      <c r="P99" s="4">
        <v>67376</v>
      </c>
      <c r="Q99" s="4"/>
      <c r="R99" s="4"/>
      <c r="S99" s="4">
        <v>13797</v>
      </c>
      <c r="T99" s="4">
        <v>7722</v>
      </c>
      <c r="U99" s="10"/>
      <c r="V99" s="10"/>
      <c r="W99" s="10"/>
      <c r="X99" s="4"/>
      <c r="Y99" s="18" t="str">
        <f t="shared" si="64"/>
        <v/>
      </c>
      <c r="Z99" s="4"/>
      <c r="AA99" s="77">
        <f t="shared" si="78"/>
        <v>1.8695245548069398E-2</v>
      </c>
      <c r="AB99" s="8">
        <f t="shared" si="95"/>
        <v>213490</v>
      </c>
      <c r="AC99" s="2"/>
      <c r="AD99" s="3"/>
      <c r="AE99" s="4">
        <v>8004</v>
      </c>
      <c r="AF99" s="4">
        <f>29296+24377+24908</f>
        <v>78581</v>
      </c>
      <c r="AG99" s="4"/>
      <c r="AH99" s="4"/>
      <c r="AI99" s="1">
        <v>8897</v>
      </c>
      <c r="AJ99" s="4"/>
      <c r="AK99" s="4"/>
      <c r="AL99" s="4">
        <v>21431</v>
      </c>
      <c r="AM99" s="4"/>
      <c r="AN99" s="1">
        <v>5901</v>
      </c>
      <c r="AO99" s="4"/>
      <c r="AP99" s="10"/>
      <c r="AQ99" s="4"/>
      <c r="AR99" s="4"/>
      <c r="AS99" s="4"/>
      <c r="AT99" s="4">
        <v>101778</v>
      </c>
      <c r="AU99" s="4"/>
      <c r="AV99" s="1">
        <v>2741</v>
      </c>
      <c r="AW99" s="4"/>
      <c r="AX99" s="4"/>
      <c r="AY99" s="4"/>
      <c r="AZ99" s="4"/>
      <c r="BA99" s="4"/>
      <c r="BB99" s="4"/>
      <c r="BC99" s="4"/>
      <c r="BD99" s="4"/>
      <c r="BE99" s="4">
        <v>19947</v>
      </c>
      <c r="BF99" s="4"/>
      <c r="BG99" s="1">
        <v>6222</v>
      </c>
      <c r="BH99" s="4"/>
      <c r="BI99" s="4"/>
      <c r="BJ99" s="4">
        <v>22196</v>
      </c>
      <c r="BK99" s="4"/>
      <c r="BL99" s="4"/>
      <c r="BM99" s="4"/>
      <c r="BN99" s="4"/>
      <c r="BO99" s="4"/>
      <c r="BP99" s="4"/>
      <c r="BQ99" s="4"/>
      <c r="BR99" s="1">
        <v>9480</v>
      </c>
      <c r="BS99" s="10"/>
      <c r="BT99" s="4"/>
      <c r="BU99" s="4"/>
      <c r="BV99" s="4"/>
      <c r="BW99" s="4"/>
      <c r="BX99" s="1">
        <v>6714</v>
      </c>
      <c r="BY99" s="1">
        <v>9524</v>
      </c>
      <c r="BZ99" s="1">
        <v>7293</v>
      </c>
      <c r="CA99" s="4"/>
      <c r="CB99" s="4"/>
      <c r="CC99" s="4"/>
      <c r="CD99" s="4"/>
      <c r="CE99" s="4"/>
      <c r="CF99" s="4">
        <v>90598</v>
      </c>
      <c r="CG99" s="4"/>
      <c r="CH99" s="4">
        <v>24979</v>
      </c>
      <c r="CI99" s="4"/>
      <c r="CJ99" s="10"/>
      <c r="CK99" s="4"/>
      <c r="CL99" s="10"/>
      <c r="CM99" s="1">
        <v>10348</v>
      </c>
      <c r="CN99" s="4"/>
      <c r="CO99" s="10"/>
      <c r="CP99" s="4"/>
      <c r="CQ99" s="4">
        <v>12294</v>
      </c>
      <c r="CR99" s="10"/>
      <c r="CS99" s="4"/>
      <c r="CT99" s="4"/>
      <c r="CU99" s="4">
        <v>11450</v>
      </c>
      <c r="CV99" s="4">
        <v>24744</v>
      </c>
      <c r="CW99" s="4"/>
      <c r="CX99" s="4"/>
      <c r="CY99" s="77">
        <f t="shared" si="76"/>
        <v>2.9132211159536986E-2</v>
      </c>
      <c r="CZ99" s="8">
        <f t="shared" si="96"/>
        <v>483122</v>
      </c>
      <c r="DA99" s="2"/>
      <c r="DD99" s="1">
        <v>16185</v>
      </c>
      <c r="DE99" s="1">
        <v>15116</v>
      </c>
      <c r="DF99" s="1">
        <v>12712</v>
      </c>
      <c r="DH99" s="4"/>
      <c r="DJ99" s="4"/>
      <c r="DL99" s="1">
        <v>15012</v>
      </c>
      <c r="DM99" s="1">
        <v>21006</v>
      </c>
      <c r="DN99" s="1">
        <v>14466</v>
      </c>
      <c r="DP99" s="1">
        <v>22361</v>
      </c>
      <c r="DQ99" s="1">
        <v>14651</v>
      </c>
      <c r="DR99" s="1">
        <v>15798</v>
      </c>
      <c r="DS99" s="1">
        <v>15436</v>
      </c>
      <c r="DU99" s="1">
        <v>13251</v>
      </c>
      <c r="DX99" s="2"/>
      <c r="DY99" s="32"/>
      <c r="DZ99" s="4">
        <v>1021</v>
      </c>
      <c r="EA99" s="32"/>
      <c r="EB99" s="32"/>
      <c r="EC99" s="32"/>
      <c r="ED99" s="32"/>
      <c r="EE99" s="4">
        <v>12375</v>
      </c>
      <c r="EF99" s="4">
        <v>12043</v>
      </c>
      <c r="EG99" s="32"/>
      <c r="EH99" s="32"/>
      <c r="EI99" s="32"/>
      <c r="EJ99" s="32"/>
      <c r="EK99" s="5"/>
      <c r="EO99" s="2"/>
      <c r="EQ99" s="468" t="s">
        <v>1</v>
      </c>
      <c r="ER99"/>
      <c r="ES99" s="6"/>
      <c r="ET99" s="10"/>
      <c r="EU99" s="10"/>
      <c r="EV99" s="10"/>
      <c r="EW99" s="10"/>
      <c r="EX99" s="4">
        <v>2830</v>
      </c>
      <c r="EY99" s="4"/>
      <c r="EZ99" s="4"/>
      <c r="FA99" s="4"/>
      <c r="FB99" s="4"/>
      <c r="FC99" s="4">
        <v>12425</v>
      </c>
      <c r="FD99" s="4"/>
      <c r="FE99" s="4"/>
      <c r="FF99" s="4"/>
      <c r="FG99" s="4"/>
      <c r="FH99" s="10"/>
      <c r="FI99" s="10"/>
      <c r="FJ99" s="10"/>
      <c r="FK99" s="10"/>
      <c r="FL99" s="10"/>
      <c r="FM99" s="10"/>
      <c r="FN99" s="4">
        <v>9077</v>
      </c>
      <c r="FO99" s="4"/>
      <c r="FP99" s="10"/>
      <c r="FQ99" s="4"/>
      <c r="FR99" s="4"/>
      <c r="FS99" s="10"/>
      <c r="FT99" s="4">
        <v>35637</v>
      </c>
      <c r="FU99" s="4">
        <v>19684</v>
      </c>
      <c r="FV99" s="4"/>
      <c r="FW99" s="4">
        <v>17471</v>
      </c>
      <c r="FX99" s="4"/>
      <c r="FY99" s="4">
        <v>22475</v>
      </c>
      <c r="FZ99" s="10"/>
      <c r="GA99" s="10"/>
      <c r="GB99" s="10"/>
      <c r="GC99" s="10"/>
      <c r="GD99" s="4">
        <v>26832</v>
      </c>
      <c r="GE99" s="4">
        <v>18121</v>
      </c>
      <c r="GF99" s="4"/>
      <c r="GG99" s="4"/>
      <c r="GH99" s="4"/>
      <c r="GI99" s="4">
        <v>14652</v>
      </c>
      <c r="GJ99" s="4"/>
      <c r="GK99" s="4"/>
      <c r="GL99" s="4"/>
      <c r="GM99" s="4">
        <v>24875</v>
      </c>
      <c r="GN99" s="10"/>
      <c r="GO99" s="10"/>
      <c r="GP99" s="4"/>
      <c r="GQ99" s="10"/>
      <c r="GR99" s="4">
        <v>17879</v>
      </c>
      <c r="GS99" s="10"/>
      <c r="GT99" s="4">
        <v>13797</v>
      </c>
      <c r="GU99" s="10"/>
      <c r="GV99" s="4">
        <v>7722</v>
      </c>
      <c r="GW99" s="10"/>
      <c r="GX99" s="10"/>
      <c r="GY99" s="10"/>
      <c r="GZ99" s="10"/>
      <c r="HA99" s="18"/>
      <c r="HB99" s="4"/>
      <c r="HC99" s="77">
        <f t="shared" si="79"/>
        <v>1.0366048493852162E-2</v>
      </c>
      <c r="HD99" s="8">
        <f t="shared" si="86"/>
        <v>243477</v>
      </c>
      <c r="HE99" s="2"/>
      <c r="HF99" s="3"/>
      <c r="HG99" s="4">
        <v>13602</v>
      </c>
      <c r="HH99" s="4"/>
      <c r="HI99" s="4">
        <v>20531</v>
      </c>
      <c r="HJ99" s="4"/>
      <c r="HK99" s="4"/>
      <c r="HL99" s="4"/>
      <c r="HM99" s="4"/>
      <c r="HN99" s="4">
        <v>21431</v>
      </c>
      <c r="HO99" s="4"/>
      <c r="HP99" s="4"/>
      <c r="HQ99" s="4">
        <v>16013</v>
      </c>
      <c r="HR99" s="4">
        <v>21370</v>
      </c>
      <c r="HS99" s="4"/>
      <c r="HT99" s="10"/>
      <c r="HU99" s="10"/>
      <c r="HV99" s="4">
        <v>15378</v>
      </c>
      <c r="HW99" s="4"/>
      <c r="HX99" s="4"/>
      <c r="HY99" s="4"/>
      <c r="HZ99" s="4">
        <v>21509</v>
      </c>
      <c r="IA99" s="4">
        <v>20722</v>
      </c>
      <c r="IB99" s="4"/>
      <c r="IC99" s="4">
        <v>19656</v>
      </c>
      <c r="ID99" s="10"/>
      <c r="IE99" s="4">
        <v>22342</v>
      </c>
      <c r="IF99" s="10"/>
      <c r="IG99" s="4">
        <v>16778</v>
      </c>
      <c r="IH99" s="4"/>
      <c r="II99" s="4"/>
      <c r="IJ99" s="4"/>
      <c r="IK99" s="4"/>
      <c r="IL99" s="4"/>
      <c r="IM99" s="4">
        <v>19947</v>
      </c>
      <c r="IN99" s="4"/>
      <c r="IO99" s="4"/>
      <c r="IP99" s="4">
        <v>22196</v>
      </c>
      <c r="IQ99" s="4"/>
      <c r="IR99" s="4"/>
      <c r="IS99" s="4"/>
      <c r="IT99" s="10"/>
      <c r="IU99" s="4"/>
      <c r="IV99" s="4"/>
      <c r="IW99" s="4"/>
      <c r="IX99" s="10"/>
      <c r="IY99" s="4"/>
      <c r="IZ99" s="4">
        <v>18348</v>
      </c>
      <c r="JA99" s="4"/>
      <c r="JB99" s="4"/>
      <c r="JC99" s="4"/>
      <c r="JD99" s="4"/>
      <c r="JE99" s="4"/>
      <c r="JF99" s="10"/>
      <c r="JG99" s="10"/>
      <c r="JH99" s="10"/>
      <c r="JI99" s="4"/>
      <c r="JJ99" s="4"/>
      <c r="JK99" s="4">
        <v>14354</v>
      </c>
      <c r="JL99" s="4"/>
      <c r="JM99" s="4"/>
      <c r="JN99" s="10">
        <v>18862</v>
      </c>
      <c r="JO99" s="10"/>
      <c r="JP99" s="4"/>
      <c r="JQ99" s="4"/>
      <c r="JR99" s="4"/>
      <c r="JS99" s="4">
        <v>14586</v>
      </c>
      <c r="JT99" s="4"/>
      <c r="JU99" s="10"/>
      <c r="JV99" s="4"/>
      <c r="JW99" s="4"/>
      <c r="JX99" s="4">
        <v>24979</v>
      </c>
      <c r="JY99" s="4"/>
      <c r="JZ99" s="4"/>
      <c r="KA99" s="4"/>
      <c r="KB99" s="4"/>
      <c r="KC99" s="4">
        <v>19447</v>
      </c>
      <c r="KD99" s="10"/>
      <c r="KE99" s="10"/>
      <c r="KF99" s="10"/>
      <c r="KG99" s="4">
        <v>16097</v>
      </c>
      <c r="KH99" s="10"/>
      <c r="KI99" s="10"/>
      <c r="KJ99" s="10"/>
      <c r="KK99" s="10"/>
      <c r="KL99" s="4">
        <v>12294</v>
      </c>
      <c r="KM99" s="10"/>
      <c r="KN99" s="4"/>
      <c r="KO99" s="4"/>
      <c r="KP99" s="4">
        <v>11450</v>
      </c>
      <c r="KQ99" s="4">
        <v>24744</v>
      </c>
      <c r="KR99" s="10"/>
      <c r="KS99" s="4">
        <v>22140</v>
      </c>
      <c r="KT99" s="4"/>
      <c r="KU99" s="4"/>
      <c r="KV99" s="4">
        <v>16773</v>
      </c>
      <c r="KW99" s="4"/>
      <c r="KX99" s="18"/>
      <c r="KY99" s="4"/>
      <c r="KZ99" s="77">
        <f t="shared" si="80"/>
        <v>4.7285252439798172E-3</v>
      </c>
      <c r="LA99" s="8">
        <f t="shared" si="97"/>
        <v>465549</v>
      </c>
      <c r="LB99" s="2"/>
      <c r="LC99" s="43"/>
      <c r="LD99" s="1">
        <v>4256</v>
      </c>
      <c r="LF99" s="1">
        <v>8897</v>
      </c>
      <c r="LG99" s="1">
        <v>16185</v>
      </c>
      <c r="LI99" s="1">
        <v>5901</v>
      </c>
      <c r="LJ99" s="1">
        <v>6648</v>
      </c>
      <c r="LL99" s="1">
        <v>15116</v>
      </c>
      <c r="LM99" s="1">
        <v>12712</v>
      </c>
      <c r="LQ99" s="1">
        <v>7456</v>
      </c>
      <c r="LR99" s="1">
        <v>2741</v>
      </c>
      <c r="LU99" s="1">
        <v>8390</v>
      </c>
      <c r="LY99" s="1">
        <v>6222</v>
      </c>
      <c r="MD99" s="1">
        <v>15012</v>
      </c>
      <c r="ME99" s="1">
        <v>9480</v>
      </c>
      <c r="MI99" s="1">
        <v>21006</v>
      </c>
      <c r="ML99" s="1">
        <v>7852</v>
      </c>
      <c r="MM99" s="1">
        <v>6714</v>
      </c>
      <c r="MN99" s="1">
        <v>9524</v>
      </c>
      <c r="MO99" s="172"/>
      <c r="MQ99" s="1">
        <v>7293</v>
      </c>
      <c r="MT99" s="1">
        <v>14466</v>
      </c>
      <c r="MV99" s="1">
        <v>22361</v>
      </c>
      <c r="MW99" s="1">
        <v>8222</v>
      </c>
      <c r="MX99" s="1">
        <v>14651</v>
      </c>
      <c r="NC99" s="1">
        <v>15798</v>
      </c>
      <c r="ND99" s="1">
        <v>15436</v>
      </c>
      <c r="NF99" s="1">
        <v>13251</v>
      </c>
      <c r="NG99" s="1">
        <v>10348</v>
      </c>
      <c r="NH99" s="1">
        <v>4508</v>
      </c>
      <c r="NM99" s="1">
        <v>5725</v>
      </c>
      <c r="NN99" s="1">
        <v>9898</v>
      </c>
      <c r="NO99" s="77"/>
      <c r="NP99" s="63"/>
      <c r="NQ99"/>
      <c r="NR99" s="77">
        <f t="shared" si="81"/>
        <v>-1.6671057450732191E-2</v>
      </c>
      <c r="NS99" s="8">
        <f t="shared" si="84"/>
        <v>306069</v>
      </c>
      <c r="NT99" s="2"/>
      <c r="NU99" s="7"/>
      <c r="NV99" s="4">
        <v>1021</v>
      </c>
      <c r="NW99" s="4"/>
      <c r="NX99" s="4"/>
      <c r="NY99" s="4"/>
      <c r="NZ99" s="4"/>
      <c r="OA99" s="4">
        <v>12375</v>
      </c>
      <c r="OB99" s="4">
        <v>12043</v>
      </c>
      <c r="OC99" s="4"/>
      <c r="OD99" s="4"/>
      <c r="OE99" s="77">
        <f t="shared" si="82"/>
        <v>-9.9244959912820115E-3</v>
      </c>
      <c r="OF99" s="8">
        <f t="shared" si="71"/>
        <v>25439</v>
      </c>
      <c r="OG99" s="2"/>
      <c r="OI99" s="1">
        <v>496</v>
      </c>
      <c r="OJ99" s="40"/>
      <c r="OK99" s="40"/>
      <c r="OL99" s="40"/>
      <c r="OM99" s="40"/>
      <c r="ON99" s="40"/>
      <c r="OO99" s="40"/>
      <c r="OP99" s="1">
        <v>20533</v>
      </c>
      <c r="OQ99" s="40"/>
      <c r="OR99" s="77">
        <f t="shared" si="83"/>
        <v>-7.9256498561117144E-3</v>
      </c>
      <c r="OS99" s="8">
        <f t="shared" si="85"/>
        <v>21029</v>
      </c>
      <c r="OT99" s="37"/>
      <c r="OU99" s="126">
        <f t="shared" si="65"/>
        <v>717641</v>
      </c>
      <c r="OV99" s="71">
        <f t="shared" si="73"/>
        <v>2.4886641959969438E-2</v>
      </c>
      <c r="OW99" s="139">
        <f>IF(A99="","",SUM(Z$17:Z99))</f>
        <v>20000</v>
      </c>
      <c r="OX99" s="139">
        <f t="shared" si="87"/>
        <v>742051</v>
      </c>
      <c r="OY99" s="132">
        <f t="shared" si="88"/>
        <v>3.9885704516185089E-2</v>
      </c>
      <c r="OZ99" s="140">
        <f t="shared" si="66"/>
        <v>1040534</v>
      </c>
      <c r="PA99" s="84">
        <f t="shared" si="77"/>
        <v>-7.2506287879733672E-4</v>
      </c>
      <c r="PB99" s="130">
        <f>IF(A99="","",SUM(HB$17:HB99)+SUM(KY$17:KY99))</f>
        <v>115756.47</v>
      </c>
      <c r="PC99" s="131">
        <f t="shared" si="89"/>
        <v>824782.47</v>
      </c>
      <c r="PD99" s="132">
        <f t="shared" si="90"/>
        <v>0.24868470495260556</v>
      </c>
      <c r="PE99" s="133">
        <f t="shared" si="67"/>
        <v>709026</v>
      </c>
      <c r="PF99" s="84">
        <f t="shared" si="69"/>
        <v>6.657324547766197E-3</v>
      </c>
      <c r="PG99" s="133">
        <f t="shared" si="68"/>
        <v>1049149</v>
      </c>
      <c r="PH99" s="84">
        <f t="shared" si="70"/>
        <v>1.1552623637273458E-2</v>
      </c>
      <c r="PI99" s="135">
        <f t="shared" si="91"/>
        <v>1758175</v>
      </c>
      <c r="PJ99" s="136">
        <f t="shared" si="74"/>
        <v>9.5727600970195881E-3</v>
      </c>
      <c r="PK99" s="123">
        <f t="shared" si="72"/>
        <v>-5.4421296744478216E-2</v>
      </c>
      <c r="PL99" s="137">
        <f t="shared" si="92"/>
        <v>135756.47</v>
      </c>
      <c r="PM99" s="9">
        <f t="shared" si="93"/>
        <v>1566833.47</v>
      </c>
      <c r="PN99" s="138">
        <f t="shared" si="94"/>
        <v>0.14025330577610232</v>
      </c>
      <c r="PO99" s="86">
        <f>IF(PI99="","",MAX(PI$15:PI99))</f>
        <v>1940884.25</v>
      </c>
      <c r="PP99" s="113">
        <f t="shared" si="75"/>
        <v>-0.10391983164360771</v>
      </c>
      <c r="PQ99" s="41"/>
      <c r="PR99" s="302"/>
    </row>
    <row r="100" spans="1:434" s="1" customFormat="1" ht="15" customHeight="1" x14ac:dyDescent="0.45">
      <c r="A100" s="18">
        <v>45148</v>
      </c>
      <c r="B100" s="3"/>
      <c r="C100" s="4">
        <v>53590</v>
      </c>
      <c r="D100" s="10"/>
      <c r="E100" s="10"/>
      <c r="F100" s="10"/>
      <c r="G100" s="4"/>
      <c r="H100" s="4"/>
      <c r="I100" s="4">
        <v>35679</v>
      </c>
      <c r="J100" s="4">
        <v>20028</v>
      </c>
      <c r="K100" s="4">
        <v>15324</v>
      </c>
      <c r="L100" s="4">
        <v>15367</v>
      </c>
      <c r="M100" s="4">
        <v>19389</v>
      </c>
      <c r="N100" s="4"/>
      <c r="O100" s="10"/>
      <c r="P100" s="4">
        <v>67725</v>
      </c>
      <c r="Q100" s="4"/>
      <c r="R100" s="4"/>
      <c r="S100" s="4">
        <v>13929</v>
      </c>
      <c r="T100" s="4">
        <v>7848</v>
      </c>
      <c r="U100" s="10"/>
      <c r="V100" s="10"/>
      <c r="W100" s="10"/>
      <c r="X100" s="4"/>
      <c r="Y100" s="18" t="str">
        <f t="shared" si="64"/>
        <v/>
      </c>
      <c r="Z100" s="4"/>
      <c r="AA100" s="77">
        <f t="shared" si="78"/>
        <v>0.16576420441238465</v>
      </c>
      <c r="AB100" s="8">
        <f t="shared" si="95"/>
        <v>248879</v>
      </c>
      <c r="AC100" s="2"/>
      <c r="AD100" s="3"/>
      <c r="AE100" s="4">
        <v>8068</v>
      </c>
      <c r="AF100" s="4">
        <f>29369+24420+24995</f>
        <v>78784</v>
      </c>
      <c r="AG100" s="4"/>
      <c r="AH100" s="4"/>
      <c r="AI100" s="1">
        <v>9861</v>
      </c>
      <c r="AJ100" s="4"/>
      <c r="AK100" s="4"/>
      <c r="AL100" s="4">
        <v>22169</v>
      </c>
      <c r="AM100" s="4"/>
      <c r="AN100" s="1">
        <v>5843</v>
      </c>
      <c r="AO100" s="4"/>
      <c r="AP100" s="10"/>
      <c r="AQ100" s="4"/>
      <c r="AR100" s="4"/>
      <c r="AS100" s="4"/>
      <c r="AT100" s="4">
        <v>123354</v>
      </c>
      <c r="AU100" s="4"/>
      <c r="AV100" s="1">
        <v>2723</v>
      </c>
      <c r="AW100" s="4"/>
      <c r="AX100" s="4"/>
      <c r="AY100" s="4"/>
      <c r="AZ100" s="4"/>
      <c r="BA100" s="4"/>
      <c r="BB100" s="4"/>
      <c r="BC100" s="4"/>
      <c r="BD100" s="4"/>
      <c r="BE100" s="4">
        <v>20813</v>
      </c>
      <c r="BF100" s="4"/>
      <c r="BG100" s="1">
        <v>6144</v>
      </c>
      <c r="BH100" s="4"/>
      <c r="BI100" s="4"/>
      <c r="BJ100" s="4">
        <v>24801</v>
      </c>
      <c r="BK100" s="4"/>
      <c r="BL100" s="4"/>
      <c r="BM100" s="4"/>
      <c r="BN100" s="4"/>
      <c r="BO100" s="4"/>
      <c r="BP100" s="4"/>
      <c r="BQ100" s="4"/>
      <c r="BR100" s="1">
        <v>9468</v>
      </c>
      <c r="BS100" s="10"/>
      <c r="BT100" s="4"/>
      <c r="BU100" s="4"/>
      <c r="BV100" s="4"/>
      <c r="BW100" s="4"/>
      <c r="BX100" s="1">
        <v>6688</v>
      </c>
      <c r="BY100" s="1">
        <v>10194</v>
      </c>
      <c r="BZ100" s="1">
        <v>7226</v>
      </c>
      <c r="CA100" s="4"/>
      <c r="CB100" s="4"/>
      <c r="CC100" s="4"/>
      <c r="CD100" s="4"/>
      <c r="CE100" s="4"/>
      <c r="CF100" s="4">
        <v>98929</v>
      </c>
      <c r="CG100" s="4"/>
      <c r="CH100" s="4">
        <v>25283</v>
      </c>
      <c r="CI100" s="4"/>
      <c r="CJ100" s="10"/>
      <c r="CK100" s="4"/>
      <c r="CL100" s="10"/>
      <c r="CM100" s="1">
        <v>10447</v>
      </c>
      <c r="CN100" s="4"/>
      <c r="CO100" s="10"/>
      <c r="CP100" s="4"/>
      <c r="CQ100" s="4">
        <v>12503</v>
      </c>
      <c r="CR100" s="10"/>
      <c r="CS100" s="4"/>
      <c r="CT100" s="4"/>
      <c r="CU100" s="4">
        <v>11682</v>
      </c>
      <c r="CV100" s="4">
        <v>24012</v>
      </c>
      <c r="CW100" s="4"/>
      <c r="CX100" s="4"/>
      <c r="CY100" s="77">
        <f t="shared" si="76"/>
        <v>7.4246256639109789E-2</v>
      </c>
      <c r="CZ100" s="8">
        <f t="shared" si="96"/>
        <v>518992</v>
      </c>
      <c r="DA100" s="2"/>
      <c r="DD100" s="1">
        <v>15932</v>
      </c>
      <c r="DE100" s="1">
        <v>14852</v>
      </c>
      <c r="DF100" s="1">
        <v>12520</v>
      </c>
      <c r="DH100" s="4"/>
      <c r="DJ100" s="4"/>
      <c r="DL100" s="1">
        <v>15029</v>
      </c>
      <c r="DM100" s="1">
        <v>20662</v>
      </c>
      <c r="DN100" s="1">
        <v>14394</v>
      </c>
      <c r="DO100" s="1">
        <v>8527</v>
      </c>
      <c r="DP100" s="1">
        <v>21985</v>
      </c>
      <c r="DQ100" s="1">
        <v>14594</v>
      </c>
      <c r="DR100" s="1">
        <v>15610</v>
      </c>
      <c r="DS100" s="1">
        <v>9394</v>
      </c>
      <c r="DU100" s="1">
        <v>13235</v>
      </c>
      <c r="DX100" s="2"/>
      <c r="DY100" s="32"/>
      <c r="DZ100" s="4">
        <v>1219</v>
      </c>
      <c r="EA100" s="32"/>
      <c r="EB100" s="32"/>
      <c r="EC100" s="32"/>
      <c r="ED100" s="32"/>
      <c r="EE100" s="4">
        <v>12238</v>
      </c>
      <c r="EF100" s="4">
        <v>12029</v>
      </c>
      <c r="EG100" s="32"/>
      <c r="EH100" s="32"/>
      <c r="EI100" s="32"/>
      <c r="EJ100" s="32"/>
      <c r="EK100" s="5"/>
      <c r="EO100" s="2"/>
      <c r="EQ100" s="468" t="s">
        <v>1</v>
      </c>
      <c r="ER100"/>
      <c r="ES100" s="6"/>
      <c r="ET100" s="10"/>
      <c r="EU100" s="10"/>
      <c r="EV100" s="10"/>
      <c r="EW100" s="10"/>
      <c r="EX100" s="4">
        <v>4787</v>
      </c>
      <c r="EY100" s="4"/>
      <c r="EZ100" s="4"/>
      <c r="FA100" s="4"/>
      <c r="FB100" s="4"/>
      <c r="FC100" s="4"/>
      <c r="FD100" s="4"/>
      <c r="FE100" s="4"/>
      <c r="FF100" s="4"/>
      <c r="FG100" s="4"/>
      <c r="FH100" s="10"/>
      <c r="FI100" s="10"/>
      <c r="FJ100" s="10"/>
      <c r="FK100" s="10"/>
      <c r="FL100" s="10"/>
      <c r="FM100" s="10"/>
      <c r="FN100" s="4">
        <v>9180</v>
      </c>
      <c r="FO100" s="4"/>
      <c r="FP100" s="10"/>
      <c r="FQ100" s="4"/>
      <c r="FR100" s="4"/>
      <c r="FS100" s="10"/>
      <c r="FT100" s="4">
        <v>35679</v>
      </c>
      <c r="FU100" s="4">
        <v>20028</v>
      </c>
      <c r="FV100" s="4"/>
      <c r="FW100" s="4">
        <v>15324</v>
      </c>
      <c r="FX100" s="4"/>
      <c r="FY100" s="4">
        <v>15367</v>
      </c>
      <c r="FZ100" s="10"/>
      <c r="GA100" s="10"/>
      <c r="GB100" s="10"/>
      <c r="GC100" s="10"/>
      <c r="GD100" s="4">
        <v>19389</v>
      </c>
      <c r="GE100" s="4">
        <v>14993</v>
      </c>
      <c r="GF100" s="4"/>
      <c r="GG100" s="4"/>
      <c r="GH100" s="4"/>
      <c r="GI100" s="4">
        <v>15683</v>
      </c>
      <c r="GJ100" s="4"/>
      <c r="GK100" s="4"/>
      <c r="GL100" s="4"/>
      <c r="GM100" s="4">
        <v>21817</v>
      </c>
      <c r="GN100" s="10"/>
      <c r="GO100" s="10"/>
      <c r="GP100" s="4"/>
      <c r="GQ100" s="10"/>
      <c r="GR100" s="4"/>
      <c r="GS100" s="10"/>
      <c r="GT100" s="4">
        <v>13929</v>
      </c>
      <c r="GU100" s="10"/>
      <c r="GV100" s="4">
        <v>7848</v>
      </c>
      <c r="GW100" s="10"/>
      <c r="GX100" s="10"/>
      <c r="GY100" s="10"/>
      <c r="GZ100" s="10"/>
      <c r="HA100" s="18"/>
      <c r="HB100" s="4"/>
      <c r="HC100" s="77">
        <f t="shared" si="79"/>
        <v>-0.20311158754214978</v>
      </c>
      <c r="HD100" s="8">
        <f t="shared" si="86"/>
        <v>194024</v>
      </c>
      <c r="HE100" s="2"/>
      <c r="HF100" s="3"/>
      <c r="HG100" s="4">
        <v>15910</v>
      </c>
      <c r="HH100" s="4"/>
      <c r="HI100" s="4">
        <v>22757</v>
      </c>
      <c r="HJ100" s="4"/>
      <c r="HK100" s="4"/>
      <c r="HL100" s="4"/>
      <c r="HM100" s="4"/>
      <c r="HN100" s="4">
        <v>22169</v>
      </c>
      <c r="HO100" s="4"/>
      <c r="HP100" s="4"/>
      <c r="HQ100" s="4">
        <v>17649</v>
      </c>
      <c r="HR100" s="4">
        <v>22950</v>
      </c>
      <c r="HS100" s="4"/>
      <c r="HT100" s="10"/>
      <c r="HU100" s="10"/>
      <c r="HV100" s="4">
        <v>8438</v>
      </c>
      <c r="HW100" s="4"/>
      <c r="HX100" s="4"/>
      <c r="HY100" s="4">
        <v>8705</v>
      </c>
      <c r="HZ100" s="4">
        <v>22951</v>
      </c>
      <c r="IA100" s="4">
        <v>23082</v>
      </c>
      <c r="IB100" s="4"/>
      <c r="IC100" s="4"/>
      <c r="ID100" s="10"/>
      <c r="IE100" s="4">
        <v>21343</v>
      </c>
      <c r="IF100" s="10"/>
      <c r="IG100" s="4">
        <v>19614</v>
      </c>
      <c r="IH100" s="4"/>
      <c r="II100" s="4"/>
      <c r="IJ100" s="4"/>
      <c r="IK100" s="4"/>
      <c r="IL100" s="4"/>
      <c r="IM100" s="4">
        <v>20813</v>
      </c>
      <c r="IN100" s="4"/>
      <c r="IO100" s="4"/>
      <c r="IP100" s="4">
        <v>24801</v>
      </c>
      <c r="IQ100" s="4"/>
      <c r="IR100" s="4"/>
      <c r="IS100" s="4"/>
      <c r="IT100" s="10"/>
      <c r="IU100" s="4"/>
      <c r="IV100" s="4"/>
      <c r="IW100" s="4"/>
      <c r="IX100" s="10"/>
      <c r="IY100" s="4"/>
      <c r="IZ100" s="4">
        <v>18326</v>
      </c>
      <c r="JA100" s="4">
        <v>19323</v>
      </c>
      <c r="JB100" s="4"/>
      <c r="JC100" s="4"/>
      <c r="JD100" s="4"/>
      <c r="JE100" s="4"/>
      <c r="JF100" s="10"/>
      <c r="JG100" s="10"/>
      <c r="JH100" s="10"/>
      <c r="JI100" s="4"/>
      <c r="JJ100" s="4"/>
      <c r="JK100" s="4">
        <v>14582</v>
      </c>
      <c r="JL100" s="4"/>
      <c r="JM100" s="4"/>
      <c r="JN100" s="10">
        <v>19038</v>
      </c>
      <c r="JO100" s="10"/>
      <c r="JP100" s="4"/>
      <c r="JQ100" s="4"/>
      <c r="JR100" s="4"/>
      <c r="JS100" s="4">
        <v>14451</v>
      </c>
      <c r="JT100" s="4"/>
      <c r="JU100" s="10"/>
      <c r="JV100" s="4">
        <v>12480</v>
      </c>
      <c r="JW100" s="4"/>
      <c r="JX100" s="4">
        <v>25283</v>
      </c>
      <c r="JY100" s="4"/>
      <c r="JZ100" s="4"/>
      <c r="KA100" s="4"/>
      <c r="KB100" s="4"/>
      <c r="KC100" s="4">
        <v>20526</v>
      </c>
      <c r="KD100" s="10"/>
      <c r="KE100" s="10"/>
      <c r="KF100" s="10"/>
      <c r="KG100" s="4">
        <v>16251</v>
      </c>
      <c r="KH100" s="10"/>
      <c r="KI100" s="10"/>
      <c r="KJ100" s="10"/>
      <c r="KK100" s="10"/>
      <c r="KL100" s="4">
        <v>12503</v>
      </c>
      <c r="KM100" s="10"/>
      <c r="KN100" s="4"/>
      <c r="KO100" s="4"/>
      <c r="KP100" s="4">
        <v>11682</v>
      </c>
      <c r="KQ100" s="4">
        <v>24012</v>
      </c>
      <c r="KR100" s="10"/>
      <c r="KS100" s="4">
        <v>9600</v>
      </c>
      <c r="KT100" s="4"/>
      <c r="KU100" s="4"/>
      <c r="KV100" s="4">
        <v>16813</v>
      </c>
      <c r="KW100" s="4"/>
      <c r="KX100" s="18"/>
      <c r="KY100" s="4"/>
      <c r="KZ100" s="77">
        <f t="shared" si="80"/>
        <v>4.4040476942276752E-2</v>
      </c>
      <c r="LA100" s="8">
        <f t="shared" si="97"/>
        <v>486052</v>
      </c>
      <c r="LB100" s="2"/>
      <c r="LC100" s="43"/>
      <c r="LD100" s="1">
        <v>3883</v>
      </c>
      <c r="LF100" s="1">
        <v>9861</v>
      </c>
      <c r="LG100" s="1">
        <v>15932</v>
      </c>
      <c r="LI100" s="1">
        <v>5843</v>
      </c>
      <c r="LJ100" s="1">
        <v>6672</v>
      </c>
      <c r="LL100" s="1">
        <v>14852</v>
      </c>
      <c r="LM100" s="1">
        <v>12520</v>
      </c>
      <c r="LR100" s="1">
        <v>2723</v>
      </c>
      <c r="LU100" s="1">
        <v>8417</v>
      </c>
      <c r="LY100" s="1">
        <v>6144</v>
      </c>
      <c r="MD100" s="1">
        <v>15029</v>
      </c>
      <c r="ME100" s="1">
        <v>9468</v>
      </c>
      <c r="MF100" s="1">
        <v>7515</v>
      </c>
      <c r="MI100" s="1">
        <v>20662</v>
      </c>
      <c r="ML100" s="1">
        <v>7796</v>
      </c>
      <c r="MM100" s="1">
        <v>6688</v>
      </c>
      <c r="MN100" s="1">
        <v>10194</v>
      </c>
      <c r="MO100" s="172"/>
      <c r="MQ100" s="1">
        <v>7226</v>
      </c>
      <c r="MT100" s="1">
        <v>14394</v>
      </c>
      <c r="MU100" s="1">
        <v>8527</v>
      </c>
      <c r="MV100" s="1">
        <v>21985</v>
      </c>
      <c r="MW100" s="1">
        <v>8264</v>
      </c>
      <c r="MX100" s="1">
        <v>14594</v>
      </c>
      <c r="NC100" s="1">
        <v>15610</v>
      </c>
      <c r="ND100" s="1">
        <v>9394</v>
      </c>
      <c r="NF100" s="1">
        <v>13235</v>
      </c>
      <c r="NG100" s="1">
        <v>10447</v>
      </c>
      <c r="NH100" s="1">
        <v>4584</v>
      </c>
      <c r="NM100" s="1">
        <v>5841</v>
      </c>
      <c r="NN100" s="1">
        <v>9605</v>
      </c>
      <c r="NO100" s="77"/>
      <c r="NP100" s="63"/>
      <c r="NQ100"/>
      <c r="NR100" s="77">
        <f t="shared" si="81"/>
        <v>5.9986473638297243E-3</v>
      </c>
      <c r="NS100" s="8">
        <f t="shared" si="84"/>
        <v>307905</v>
      </c>
      <c r="NT100" s="2"/>
      <c r="NU100" s="7"/>
      <c r="NV100" s="4">
        <v>1219</v>
      </c>
      <c r="NW100" s="4"/>
      <c r="NX100" s="4"/>
      <c r="NY100" s="4"/>
      <c r="NZ100" s="4"/>
      <c r="OA100" s="4">
        <v>12238</v>
      </c>
      <c r="OB100" s="4">
        <v>12029</v>
      </c>
      <c r="OC100" s="4"/>
      <c r="OD100" s="4"/>
      <c r="OE100" s="77">
        <f t="shared" si="82"/>
        <v>1.8475569008215731E-3</v>
      </c>
      <c r="OF100" s="8">
        <f t="shared" si="71"/>
        <v>25486</v>
      </c>
      <c r="OG100" s="2"/>
      <c r="OI100" s="1">
        <v>500</v>
      </c>
      <c r="OJ100" s="40"/>
      <c r="OK100" s="40"/>
      <c r="OL100" s="40"/>
      <c r="OM100" s="40"/>
      <c r="ON100" s="40"/>
      <c r="OO100" s="40"/>
      <c r="OP100" s="1">
        <v>20940</v>
      </c>
      <c r="OQ100" s="40"/>
      <c r="OR100" s="77">
        <f t="shared" si="83"/>
        <v>1.9544438632364828E-2</v>
      </c>
      <c r="OS100" s="8">
        <f t="shared" si="85"/>
        <v>21440</v>
      </c>
      <c r="OT100" s="37"/>
      <c r="OU100" s="126">
        <f t="shared" si="65"/>
        <v>789311</v>
      </c>
      <c r="OV100" s="71">
        <f t="shared" si="73"/>
        <v>9.9868875942149354E-2</v>
      </c>
      <c r="OW100" s="139">
        <f>IF(A100="","",SUM(Z$17:Z100))</f>
        <v>20000</v>
      </c>
      <c r="OX100" s="139">
        <f t="shared" si="87"/>
        <v>813357</v>
      </c>
      <c r="OY100" s="132">
        <f t="shared" si="88"/>
        <v>0.13981157220753124</v>
      </c>
      <c r="OZ100" s="140">
        <f t="shared" si="66"/>
        <v>1013467</v>
      </c>
      <c r="PA100" s="84">
        <f t="shared" si="77"/>
        <v>-2.6012605066244834E-2</v>
      </c>
      <c r="PB100" s="130">
        <f>IF(A100="","",SUM(HB$17:HB100)+SUM(KY$17:KY100))</f>
        <v>115756.47</v>
      </c>
      <c r="PC100" s="131">
        <f t="shared" si="89"/>
        <v>795832.47</v>
      </c>
      <c r="PD100" s="132">
        <f t="shared" si="90"/>
        <v>0.20485566696592533</v>
      </c>
      <c r="PE100" s="133">
        <f t="shared" si="67"/>
        <v>680076</v>
      </c>
      <c r="PF100" s="84">
        <f t="shared" si="69"/>
        <v>-4.0830660652782833E-2</v>
      </c>
      <c r="PG100" s="133">
        <f t="shared" si="68"/>
        <v>1122702</v>
      </c>
      <c r="PH100" s="84">
        <f t="shared" si="70"/>
        <v>7.0107296485055981E-2</v>
      </c>
      <c r="PI100" s="135">
        <f t="shared" si="91"/>
        <v>1802778</v>
      </c>
      <c r="PJ100" s="136">
        <f t="shared" si="74"/>
        <v>2.5368919476161361E-2</v>
      </c>
      <c r="PK100" s="123">
        <f t="shared" si="72"/>
        <v>-7.4052970045130186E-4</v>
      </c>
      <c r="PL100" s="137">
        <f t="shared" si="92"/>
        <v>135756.47</v>
      </c>
      <c r="PM100" s="9">
        <f t="shared" si="93"/>
        <v>1609189.47</v>
      </c>
      <c r="PN100" s="138">
        <f t="shared" si="94"/>
        <v>0.17107762115114508</v>
      </c>
      <c r="PO100" s="86">
        <f>IF(PI100="","",MAX(PI$15:PI100))</f>
        <v>1940884.25</v>
      </c>
      <c r="PP100" s="113">
        <f t="shared" si="75"/>
        <v>-7.6607463592300334E-2</v>
      </c>
      <c r="PQ100" s="41"/>
      <c r="PR100" s="302"/>
    </row>
    <row r="101" spans="1:434" s="1" customFormat="1" ht="15" customHeight="1" x14ac:dyDescent="0.45">
      <c r="A101" s="18">
        <v>45202</v>
      </c>
      <c r="B101" s="3"/>
      <c r="C101" s="4">
        <v>122204.95</v>
      </c>
      <c r="D101" s="10"/>
      <c r="E101" s="10"/>
      <c r="F101" s="10"/>
      <c r="G101" s="4"/>
      <c r="H101" s="4"/>
      <c r="I101" s="4">
        <v>31258</v>
      </c>
      <c r="J101" s="4">
        <v>18730</v>
      </c>
      <c r="K101" s="4">
        <v>13743</v>
      </c>
      <c r="L101" s="4">
        <v>14310</v>
      </c>
      <c r="M101" s="4">
        <v>18843</v>
      </c>
      <c r="N101" s="4"/>
      <c r="O101" s="10"/>
      <c r="P101" s="4"/>
      <c r="Q101" s="4"/>
      <c r="R101" s="4"/>
      <c r="S101" s="4">
        <v>12725</v>
      </c>
      <c r="T101" s="4">
        <v>7212</v>
      </c>
      <c r="U101" s="10"/>
      <c r="V101" s="10"/>
      <c r="W101" s="10"/>
      <c r="X101" s="4"/>
      <c r="Y101" s="18" t="str">
        <f t="shared" si="64"/>
        <v/>
      </c>
      <c r="Z101" s="4"/>
      <c r="AA101" s="77">
        <f t="shared" si="78"/>
        <v>-3.9589720305851388E-2</v>
      </c>
      <c r="AB101" s="8">
        <f t="shared" si="95"/>
        <v>239025.95</v>
      </c>
      <c r="AC101" s="2"/>
      <c r="AD101" s="3"/>
      <c r="AE101" s="4">
        <v>34397</v>
      </c>
      <c r="AF101" s="4">
        <f>29367+24414</f>
        <v>53781</v>
      </c>
      <c r="AG101" s="4"/>
      <c r="AH101" s="4"/>
      <c r="AI101" s="1">
        <v>9467</v>
      </c>
      <c r="AJ101" s="4"/>
      <c r="AK101" s="4"/>
      <c r="AL101" s="4">
        <v>22375</v>
      </c>
      <c r="AM101" s="4"/>
      <c r="AN101" s="1">
        <v>5337</v>
      </c>
      <c r="AO101" s="4"/>
      <c r="AP101" s="10"/>
      <c r="AQ101" s="4"/>
      <c r="AR101" s="4"/>
      <c r="AS101" s="4"/>
      <c r="AT101" s="4">
        <v>97818</v>
      </c>
      <c r="AU101" s="4"/>
      <c r="AV101" s="1">
        <v>2547</v>
      </c>
      <c r="AW101" s="4"/>
      <c r="AX101" s="4"/>
      <c r="AY101" s="4"/>
      <c r="AZ101" s="4"/>
      <c r="BA101" s="4"/>
      <c r="BB101" s="4"/>
      <c r="BC101" s="4"/>
      <c r="BD101" s="4"/>
      <c r="BE101" s="4">
        <v>21145</v>
      </c>
      <c r="BF101" s="4"/>
      <c r="BG101" s="1">
        <v>6285</v>
      </c>
      <c r="BH101" s="4"/>
      <c r="BI101" s="4"/>
      <c r="BJ101" s="4">
        <v>21881</v>
      </c>
      <c r="BK101" s="4"/>
      <c r="BL101" s="4"/>
      <c r="BM101" s="4"/>
      <c r="BN101" s="4"/>
      <c r="BO101" s="4"/>
      <c r="BP101" s="4"/>
      <c r="BQ101" s="4"/>
      <c r="BR101" s="1">
        <v>8513</v>
      </c>
      <c r="BS101" s="10"/>
      <c r="BT101" s="4"/>
      <c r="BU101" s="4"/>
      <c r="BV101" s="4"/>
      <c r="BW101" s="4"/>
      <c r="BX101" s="1">
        <v>6013</v>
      </c>
      <c r="BY101" s="1">
        <v>9466</v>
      </c>
      <c r="BZ101" s="1">
        <v>6210</v>
      </c>
      <c r="CA101" s="4"/>
      <c r="CB101" s="4"/>
      <c r="CC101" s="4"/>
      <c r="CD101" s="4"/>
      <c r="CE101" s="4"/>
      <c r="CF101" s="4">
        <v>76345</v>
      </c>
      <c r="CG101" s="4"/>
      <c r="CH101" s="4">
        <v>25553</v>
      </c>
      <c r="CI101" s="4"/>
      <c r="CJ101" s="10"/>
      <c r="CK101" s="4"/>
      <c r="CL101" s="10"/>
      <c r="CM101" s="1">
        <v>9542</v>
      </c>
      <c r="CN101" s="4"/>
      <c r="CO101" s="10"/>
      <c r="CP101" s="4"/>
      <c r="CQ101" s="4">
        <v>10905</v>
      </c>
      <c r="CR101" s="10"/>
      <c r="CS101" s="4"/>
      <c r="CT101" s="4"/>
      <c r="CU101" s="4">
        <v>10750</v>
      </c>
      <c r="CV101" s="4">
        <v>22647</v>
      </c>
      <c r="CW101" s="4"/>
      <c r="CX101" s="4"/>
      <c r="CY101" s="77">
        <f t="shared" si="76"/>
        <v>-0.11178399667046891</v>
      </c>
      <c r="CZ101" s="8">
        <f t="shared" si="96"/>
        <v>460977</v>
      </c>
      <c r="DA101" s="2"/>
      <c r="DD101" s="1">
        <v>15283</v>
      </c>
      <c r="DE101" s="1">
        <v>14240</v>
      </c>
      <c r="DF101" s="1">
        <v>12023</v>
      </c>
      <c r="DH101" s="4"/>
      <c r="DJ101" s="4"/>
      <c r="DL101" s="1">
        <v>14994</v>
      </c>
      <c r="DM101" s="1">
        <v>19574</v>
      </c>
      <c r="DN101" s="1">
        <v>14299</v>
      </c>
      <c r="DO101" s="1">
        <v>9168</v>
      </c>
      <c r="DP101" s="1">
        <v>21328</v>
      </c>
      <c r="DQ101" s="1">
        <v>14465</v>
      </c>
      <c r="DR101" s="1">
        <v>14927</v>
      </c>
      <c r="DS101" s="1">
        <v>8660</v>
      </c>
      <c r="DU101" s="1">
        <v>13055</v>
      </c>
      <c r="DX101" s="2"/>
      <c r="DY101" s="32"/>
      <c r="DZ101" s="4">
        <v>1305</v>
      </c>
      <c r="EA101" s="32"/>
      <c r="EB101" s="32"/>
      <c r="EC101" s="32"/>
      <c r="ED101" s="32"/>
      <c r="EE101" s="4">
        <v>11701</v>
      </c>
      <c r="EF101" s="4">
        <v>11872</v>
      </c>
      <c r="EG101" s="32"/>
      <c r="EH101" s="32"/>
      <c r="EI101" s="32"/>
      <c r="EJ101" s="32"/>
      <c r="EK101" s="5"/>
      <c r="EO101" s="2"/>
      <c r="EQ101" s="468" t="s">
        <v>1</v>
      </c>
      <c r="ER101"/>
      <c r="ES101" s="6"/>
      <c r="ET101" s="10"/>
      <c r="EU101" s="10"/>
      <c r="EV101" s="10"/>
      <c r="EW101" s="10"/>
      <c r="EX101" s="4">
        <v>4894</v>
      </c>
      <c r="EY101" s="4"/>
      <c r="EZ101" s="4"/>
      <c r="FA101" s="4"/>
      <c r="FB101" s="4"/>
      <c r="FC101" s="4"/>
      <c r="FD101" s="4"/>
      <c r="FE101" s="4"/>
      <c r="FF101" s="4"/>
      <c r="FG101" s="4"/>
      <c r="FH101" s="10"/>
      <c r="FI101" s="10"/>
      <c r="FJ101" s="10"/>
      <c r="FK101" s="10"/>
      <c r="FL101" s="10"/>
      <c r="FM101" s="10"/>
      <c r="FN101" s="4">
        <v>8004</v>
      </c>
      <c r="FO101" s="4"/>
      <c r="FP101" s="10"/>
      <c r="FQ101" s="4"/>
      <c r="FR101" s="4"/>
      <c r="FS101" s="10"/>
      <c r="FT101" s="4">
        <v>31258</v>
      </c>
      <c r="FU101" s="4">
        <v>18730</v>
      </c>
      <c r="FV101" s="4"/>
      <c r="FW101" s="4">
        <v>13743</v>
      </c>
      <c r="FX101" s="4"/>
      <c r="FY101" s="4">
        <v>14310</v>
      </c>
      <c r="FZ101" s="10"/>
      <c r="GA101" s="10"/>
      <c r="GB101" s="10"/>
      <c r="GC101" s="10"/>
      <c r="GD101" s="4">
        <v>18843</v>
      </c>
      <c r="GE101" s="4">
        <v>12218</v>
      </c>
      <c r="GF101" s="4"/>
      <c r="GG101" s="4"/>
      <c r="GH101" s="4"/>
      <c r="GI101" s="4">
        <v>12381</v>
      </c>
      <c r="GJ101" s="4"/>
      <c r="GK101" s="4"/>
      <c r="GL101" s="4"/>
      <c r="GM101" s="4">
        <v>19380</v>
      </c>
      <c r="GN101" s="10"/>
      <c r="GO101" s="10"/>
      <c r="GP101" s="4"/>
      <c r="GQ101" s="10"/>
      <c r="GR101" s="4"/>
      <c r="GS101" s="10"/>
      <c r="GT101" s="4">
        <v>12725</v>
      </c>
      <c r="GU101" s="10"/>
      <c r="GV101" s="4">
        <v>7212</v>
      </c>
      <c r="GW101" s="10"/>
      <c r="GX101" s="10"/>
      <c r="GY101" s="10"/>
      <c r="GZ101" s="10"/>
      <c r="HA101" s="18"/>
      <c r="HB101" s="4"/>
      <c r="HC101" s="77">
        <f t="shared" si="79"/>
        <v>-0.10476023584711169</v>
      </c>
      <c r="HD101" s="8">
        <f t="shared" si="86"/>
        <v>173698</v>
      </c>
      <c r="HE101" s="2"/>
      <c r="HF101" s="3"/>
      <c r="HG101" s="4">
        <v>21253</v>
      </c>
      <c r="HH101" s="4"/>
      <c r="HI101" s="4"/>
      <c r="HJ101" s="4"/>
      <c r="HK101" s="4"/>
      <c r="HL101" s="4"/>
      <c r="HM101" s="4"/>
      <c r="HN101" s="4">
        <v>22375</v>
      </c>
      <c r="HO101" s="4"/>
      <c r="HP101" s="4"/>
      <c r="HQ101" s="4">
        <v>14458</v>
      </c>
      <c r="HR101" s="4">
        <v>20700</v>
      </c>
      <c r="HS101" s="4"/>
      <c r="HT101" s="10"/>
      <c r="HU101" s="10"/>
      <c r="HV101" s="4">
        <v>8502</v>
      </c>
      <c r="HW101" s="4"/>
      <c r="HX101" s="4"/>
      <c r="HY101" s="4">
        <v>8518</v>
      </c>
      <c r="HZ101" s="4">
        <v>22988</v>
      </c>
      <c r="IA101" s="4">
        <v>21843</v>
      </c>
      <c r="IB101" s="4"/>
      <c r="IC101" s="4"/>
      <c r="ID101" s="10"/>
      <c r="IE101" s="4">
        <v>20862</v>
      </c>
      <c r="IF101" s="10"/>
      <c r="IG101" s="4">
        <v>18470</v>
      </c>
      <c r="IH101" s="4"/>
      <c r="II101" s="4"/>
      <c r="IJ101" s="4"/>
      <c r="IK101" s="4"/>
      <c r="IL101" s="4">
        <v>19974</v>
      </c>
      <c r="IM101" s="4">
        <v>21145</v>
      </c>
      <c r="IN101" s="4"/>
      <c r="IO101" s="4"/>
      <c r="IP101" s="4">
        <v>21881</v>
      </c>
      <c r="IQ101" s="4"/>
      <c r="IR101" s="4"/>
      <c r="IS101" s="4"/>
      <c r="IT101" s="10"/>
      <c r="IU101" s="4"/>
      <c r="IV101" s="4"/>
      <c r="IW101" s="4"/>
      <c r="IX101" s="10"/>
      <c r="IY101" s="4"/>
      <c r="IZ101" s="4">
        <v>16471</v>
      </c>
      <c r="JA101" s="4">
        <v>18023</v>
      </c>
      <c r="JB101" s="4"/>
      <c r="JC101" s="4"/>
      <c r="JD101" s="4"/>
      <c r="JE101" s="4"/>
      <c r="JF101" s="10"/>
      <c r="JG101" s="10"/>
      <c r="JH101" s="10"/>
      <c r="JI101" s="4"/>
      <c r="JJ101" s="4"/>
      <c r="JK101" s="4">
        <v>12432</v>
      </c>
      <c r="JL101" s="4"/>
      <c r="JM101" s="4"/>
      <c r="JN101" s="10">
        <v>16567</v>
      </c>
      <c r="JO101" s="10"/>
      <c r="JP101" s="4"/>
      <c r="JQ101" s="4"/>
      <c r="JR101" s="4"/>
      <c r="JS101" s="4">
        <v>12361</v>
      </c>
      <c r="JT101" s="4"/>
      <c r="JU101" s="10"/>
      <c r="JV101" s="4">
        <v>10848</v>
      </c>
      <c r="JW101" s="4"/>
      <c r="JX101" s="4">
        <v>25553</v>
      </c>
      <c r="JY101" s="4"/>
      <c r="JZ101" s="4"/>
      <c r="KA101" s="4"/>
      <c r="KB101" s="4"/>
      <c r="KC101" s="4">
        <v>19425</v>
      </c>
      <c r="KD101" s="10"/>
      <c r="KE101" s="10"/>
      <c r="KF101" s="10"/>
      <c r="KG101" s="4">
        <v>14842</v>
      </c>
      <c r="KH101" s="10"/>
      <c r="KI101" s="10"/>
      <c r="KJ101" s="10"/>
      <c r="KK101" s="10"/>
      <c r="KL101" s="4">
        <v>10905</v>
      </c>
      <c r="KM101" s="10"/>
      <c r="KN101" s="4"/>
      <c r="KO101" s="4"/>
      <c r="KP101" s="4">
        <v>10750</v>
      </c>
      <c r="KQ101" s="4">
        <v>22647</v>
      </c>
      <c r="KR101" s="10"/>
      <c r="KS101" s="4">
        <v>8895</v>
      </c>
      <c r="KT101" s="4"/>
      <c r="KU101" s="4"/>
      <c r="KV101" s="4">
        <v>17140</v>
      </c>
      <c r="KW101" s="4"/>
      <c r="KX101" s="18"/>
      <c r="KY101" s="4"/>
      <c r="KZ101" s="77">
        <f t="shared" si="80"/>
        <v>-5.395307497963181E-2</v>
      </c>
      <c r="LA101" s="8">
        <f t="shared" si="97"/>
        <v>459828</v>
      </c>
      <c r="LB101" s="2"/>
      <c r="LC101" s="43"/>
      <c r="LD101" s="1">
        <v>3330</v>
      </c>
      <c r="LE101" s="1">
        <v>8657</v>
      </c>
      <c r="LF101" s="1">
        <v>9467</v>
      </c>
      <c r="LG101" s="1">
        <v>15283</v>
      </c>
      <c r="LI101" s="1">
        <v>5337</v>
      </c>
      <c r="LJ101" s="1">
        <v>6461</v>
      </c>
      <c r="LL101" s="1">
        <v>14240</v>
      </c>
      <c r="LM101" s="1">
        <v>12023</v>
      </c>
      <c r="LR101" s="1">
        <v>2547</v>
      </c>
      <c r="LY101" s="1">
        <v>6285</v>
      </c>
      <c r="MD101" s="1">
        <v>14994</v>
      </c>
      <c r="ME101" s="1">
        <v>8513</v>
      </c>
      <c r="MF101" s="1">
        <v>7017</v>
      </c>
      <c r="MI101" s="1">
        <v>19574</v>
      </c>
      <c r="ML101" s="1">
        <v>7214</v>
      </c>
      <c r="MM101" s="1">
        <v>6013</v>
      </c>
      <c r="MN101" s="1">
        <v>9466</v>
      </c>
      <c r="MO101" s="172"/>
      <c r="MQ101" s="1">
        <v>6210</v>
      </c>
      <c r="MT101" s="1">
        <v>14299</v>
      </c>
      <c r="MU101" s="1">
        <v>9168</v>
      </c>
      <c r="MV101" s="1">
        <v>21328</v>
      </c>
      <c r="MW101" s="1">
        <v>8079</v>
      </c>
      <c r="MX101" s="1">
        <v>14465</v>
      </c>
      <c r="NC101" s="1">
        <v>14927</v>
      </c>
      <c r="ND101" s="1">
        <v>8660</v>
      </c>
      <c r="NF101" s="1">
        <v>13055</v>
      </c>
      <c r="NG101" s="1">
        <v>9542</v>
      </c>
      <c r="NH101" s="1">
        <v>4003</v>
      </c>
      <c r="NM101" s="1">
        <v>5375</v>
      </c>
      <c r="NN101" s="1">
        <v>9068</v>
      </c>
      <c r="NO101" s="77"/>
      <c r="NP101" s="63"/>
      <c r="NQ101"/>
      <c r="NR101" s="77">
        <f t="shared" si="81"/>
        <v>-4.3211380133482732E-2</v>
      </c>
      <c r="NS101" s="8">
        <f t="shared" si="84"/>
        <v>294600</v>
      </c>
      <c r="NT101" s="2"/>
      <c r="NU101" s="7"/>
      <c r="NV101" s="4">
        <v>1305</v>
      </c>
      <c r="NW101" s="4"/>
      <c r="NX101" s="4"/>
      <c r="NY101" s="4"/>
      <c r="NZ101" s="4"/>
      <c r="OA101" s="4">
        <v>11701</v>
      </c>
      <c r="OB101" s="4">
        <v>11872</v>
      </c>
      <c r="OC101" s="4"/>
      <c r="OD101" s="4"/>
      <c r="OE101" s="77">
        <f t="shared" si="82"/>
        <v>-2.3856234795574041E-2</v>
      </c>
      <c r="OF101" s="8">
        <f t="shared" si="71"/>
        <v>24878</v>
      </c>
      <c r="OG101" s="2"/>
      <c r="OI101" s="1">
        <v>21581</v>
      </c>
      <c r="OJ101" s="40"/>
      <c r="OK101" s="40"/>
      <c r="OL101" s="40"/>
      <c r="OM101" s="40"/>
      <c r="ON101" s="40"/>
      <c r="OO101" s="40"/>
      <c r="OQ101" s="40"/>
      <c r="OR101" s="77">
        <f t="shared" si="83"/>
        <v>6.5764925373134331E-3</v>
      </c>
      <c r="OS101" s="8">
        <f t="shared" si="85"/>
        <v>21581</v>
      </c>
      <c r="OT101" s="37"/>
      <c r="OU101" s="126">
        <f t="shared" si="65"/>
        <v>721583.95</v>
      </c>
      <c r="OV101" s="71">
        <f t="shared" si="73"/>
        <v>-8.580527827434313E-2</v>
      </c>
      <c r="OW101" s="139">
        <f>IF(A101="","",SUM(Z$17:Z101))</f>
        <v>20000</v>
      </c>
      <c r="OX101" s="139">
        <f t="shared" si="87"/>
        <v>744880.95</v>
      </c>
      <c r="OY101" s="132">
        <f t="shared" si="88"/>
        <v>4.3851502755787933E-2</v>
      </c>
      <c r="OZ101" s="140">
        <f t="shared" si="66"/>
        <v>953004</v>
      </c>
      <c r="PA101" s="84">
        <f t="shared" si="77"/>
        <v>-5.9659564642953349E-2</v>
      </c>
      <c r="PB101" s="130">
        <f>IF(A101="","",SUM(HB$17:HB101)+SUM(KY$17:KY101))</f>
        <v>115756.47</v>
      </c>
      <c r="PC101" s="131">
        <f t="shared" si="89"/>
        <v>749282.47</v>
      </c>
      <c r="PD101" s="132">
        <f t="shared" si="90"/>
        <v>0.13438099621359498</v>
      </c>
      <c r="PE101" s="133">
        <f t="shared" si="67"/>
        <v>633526</v>
      </c>
      <c r="PF101" s="84">
        <f t="shared" si="69"/>
        <v>-6.8448232256394875E-2</v>
      </c>
      <c r="PG101" s="133">
        <f t="shared" si="68"/>
        <v>1041061.95</v>
      </c>
      <c r="PH101" s="84" t="str">
        <f t="shared" si="70"/>
        <v/>
      </c>
      <c r="PI101" s="135">
        <f t="shared" si="91"/>
        <v>1674587.95</v>
      </c>
      <c r="PJ101" s="136">
        <f t="shared" si="74"/>
        <v>-7.1106952714089053E-2</v>
      </c>
      <c r="PK101" s="123">
        <f t="shared" si="72"/>
        <v>-2.2581329569783298E-2</v>
      </c>
      <c r="PL101" s="137">
        <f t="shared" si="92"/>
        <v>135756.47</v>
      </c>
      <c r="PM101" s="9">
        <f t="shared" si="93"/>
        <v>1494163.42</v>
      </c>
      <c r="PN101" s="138">
        <f t="shared" si="94"/>
        <v>8.736812918907505E-2</v>
      </c>
      <c r="PO101" s="86">
        <f>IF(PI101="","",MAX(PI$15:PI101))</f>
        <v>1940884.25</v>
      </c>
      <c r="PP101" s="113">
        <f t="shared" si="75"/>
        <v>-0.15902198507997151</v>
      </c>
      <c r="PQ101" s="41"/>
      <c r="PR101" s="302"/>
    </row>
    <row r="102" spans="1:434" s="1" customFormat="1" ht="15" customHeight="1" x14ac:dyDescent="0.45">
      <c r="A102" s="18">
        <v>45263</v>
      </c>
      <c r="B102" s="3"/>
      <c r="C102" s="4">
        <v>113193</v>
      </c>
      <c r="D102" s="10"/>
      <c r="E102" s="10"/>
      <c r="F102" s="10"/>
      <c r="G102" s="4"/>
      <c r="H102" s="4"/>
      <c r="I102" s="4">
        <v>34130</v>
      </c>
      <c r="J102" s="4">
        <v>19968</v>
      </c>
      <c r="K102" s="4">
        <v>14858</v>
      </c>
      <c r="L102" s="4">
        <v>15684</v>
      </c>
      <c r="M102" s="4">
        <v>22471</v>
      </c>
      <c r="N102" s="4"/>
      <c r="O102" s="10"/>
      <c r="P102" s="4"/>
      <c r="Q102" s="4"/>
      <c r="R102" s="4"/>
      <c r="S102" s="4">
        <v>13928</v>
      </c>
      <c r="T102" s="4">
        <v>11191</v>
      </c>
      <c r="U102" s="10"/>
      <c r="V102" s="10"/>
      <c r="W102" s="10"/>
      <c r="X102" s="4"/>
      <c r="Y102" s="18" t="str">
        <f t="shared" si="64"/>
        <v/>
      </c>
      <c r="Z102" s="4"/>
      <c r="AA102" s="77">
        <f t="shared" si="78"/>
        <v>2.6762993725158245E-2</v>
      </c>
      <c r="AB102" s="8">
        <f t="shared" si="95"/>
        <v>245423</v>
      </c>
      <c r="AC102" s="2"/>
      <c r="AD102" s="3"/>
      <c r="AE102" s="4">
        <v>35124</v>
      </c>
      <c r="AF102" s="4">
        <f>29554+24543</f>
        <v>54097</v>
      </c>
      <c r="AG102" s="4"/>
      <c r="AH102" s="4"/>
      <c r="AI102" s="1">
        <v>9322</v>
      </c>
      <c r="AJ102" s="4">
        <v>18379</v>
      </c>
      <c r="AK102" s="4"/>
      <c r="AL102" s="4">
        <v>21134</v>
      </c>
      <c r="AM102" s="4"/>
      <c r="AN102" s="1">
        <v>5700</v>
      </c>
      <c r="AO102" s="4"/>
      <c r="AP102" s="10"/>
      <c r="AQ102" s="4"/>
      <c r="AR102" s="4"/>
      <c r="AS102" s="4"/>
      <c r="AT102" s="4">
        <v>105213</v>
      </c>
      <c r="AU102" s="4"/>
      <c r="AV102" s="1">
        <v>2715</v>
      </c>
      <c r="AW102" s="4"/>
      <c r="AX102" s="4"/>
      <c r="AY102" s="4"/>
      <c r="AZ102" s="4"/>
      <c r="BA102" s="4"/>
      <c r="BB102" s="4"/>
      <c r="BC102" s="4"/>
      <c r="BD102" s="4"/>
      <c r="BE102" s="4">
        <v>21098</v>
      </c>
      <c r="BF102" s="4"/>
      <c r="BG102" s="1">
        <v>6369</v>
      </c>
      <c r="BH102" s="4"/>
      <c r="BI102" s="4"/>
      <c r="BJ102" s="4">
        <v>23972</v>
      </c>
      <c r="BK102" s="4"/>
      <c r="BL102" s="4"/>
      <c r="BM102" s="4"/>
      <c r="BN102" s="4"/>
      <c r="BO102" s="4"/>
      <c r="BP102" s="4"/>
      <c r="BQ102" s="4"/>
      <c r="BR102" s="1">
        <v>9089</v>
      </c>
      <c r="BS102" s="10"/>
      <c r="BT102" s="4"/>
      <c r="BU102" s="4"/>
      <c r="BV102" s="4"/>
      <c r="BW102" s="4"/>
      <c r="BX102" s="1">
        <v>6976</v>
      </c>
      <c r="BY102" s="1">
        <v>9923</v>
      </c>
      <c r="BZ102" s="1">
        <v>7282</v>
      </c>
      <c r="CA102" s="4"/>
      <c r="CB102" s="4"/>
      <c r="CC102" s="4"/>
      <c r="CD102" s="4"/>
      <c r="CE102" s="4"/>
      <c r="CF102" s="4">
        <v>75168</v>
      </c>
      <c r="CG102" s="4"/>
      <c r="CH102" s="4">
        <v>27358</v>
      </c>
      <c r="CI102" s="4"/>
      <c r="CJ102" s="10"/>
      <c r="CK102" s="4"/>
      <c r="CL102" s="10"/>
      <c r="CM102" s="1">
        <v>10447</v>
      </c>
      <c r="CN102" s="4"/>
      <c r="CO102" s="10"/>
      <c r="CP102" s="4"/>
      <c r="CQ102" s="4">
        <v>12561</v>
      </c>
      <c r="CR102" s="10"/>
      <c r="CS102" s="4"/>
      <c r="CT102" s="4"/>
      <c r="CU102" s="4">
        <v>11265</v>
      </c>
      <c r="CV102" s="4">
        <v>22594</v>
      </c>
      <c r="CW102" s="4"/>
      <c r="CX102" s="4"/>
      <c r="CY102" s="77">
        <f t="shared" si="76"/>
        <v>7.5511359568915581E-2</v>
      </c>
      <c r="CZ102" s="8">
        <f t="shared" si="96"/>
        <v>495786</v>
      </c>
      <c r="DA102" s="2"/>
      <c r="DD102" s="1">
        <v>15977</v>
      </c>
      <c r="DE102" s="1">
        <v>14910</v>
      </c>
      <c r="DF102" s="1">
        <v>12567</v>
      </c>
      <c r="DH102" s="4"/>
      <c r="DJ102" s="4"/>
      <c r="DL102" s="1">
        <v>15048</v>
      </c>
      <c r="DM102" s="1">
        <v>20581</v>
      </c>
      <c r="DN102" s="1">
        <v>14457</v>
      </c>
      <c r="DO102" s="1">
        <v>9915</v>
      </c>
      <c r="DP102" s="1">
        <v>22005</v>
      </c>
      <c r="DQ102" s="1">
        <v>14673</v>
      </c>
      <c r="DR102" s="1">
        <v>15798</v>
      </c>
      <c r="DS102" s="1">
        <v>9553</v>
      </c>
      <c r="DU102" s="1">
        <v>13382</v>
      </c>
      <c r="DX102" s="2"/>
      <c r="DY102" s="32"/>
      <c r="DZ102" s="4">
        <v>1439</v>
      </c>
      <c r="EA102" s="32"/>
      <c r="EB102" s="32"/>
      <c r="EC102" s="32"/>
      <c r="ED102" s="32"/>
      <c r="EE102" s="4">
        <v>12382</v>
      </c>
      <c r="EF102" s="4">
        <v>12168</v>
      </c>
      <c r="EG102" s="32"/>
      <c r="EH102" s="32"/>
      <c r="EI102" s="32"/>
      <c r="EJ102" s="32"/>
      <c r="EK102" s="5"/>
      <c r="EO102" s="2"/>
      <c r="EQ102" s="468" t="s">
        <v>1</v>
      </c>
      <c r="ER102"/>
      <c r="ES102" s="6"/>
      <c r="ET102" s="10"/>
      <c r="EU102" s="10"/>
      <c r="EV102" s="10"/>
      <c r="EW102" s="10"/>
      <c r="EX102" s="4">
        <f>4772+258.52</f>
        <v>5030.5200000000004</v>
      </c>
      <c r="EY102" s="4"/>
      <c r="EZ102" s="4"/>
      <c r="FA102" s="4"/>
      <c r="FB102" s="4"/>
      <c r="FC102" s="4"/>
      <c r="FD102" s="4"/>
      <c r="FE102" s="4"/>
      <c r="FF102" s="4"/>
      <c r="FG102" s="4"/>
      <c r="FH102" s="10"/>
      <c r="FI102" s="10"/>
      <c r="FJ102" s="10"/>
      <c r="FK102" s="10"/>
      <c r="FL102" s="10"/>
      <c r="FM102" s="10"/>
      <c r="FN102" s="4"/>
      <c r="FO102" s="4"/>
      <c r="FP102" s="10"/>
      <c r="FQ102" s="4"/>
      <c r="FR102" s="4"/>
      <c r="FS102" s="10"/>
      <c r="FT102" s="4">
        <v>34130</v>
      </c>
      <c r="FU102" s="4">
        <v>19968</v>
      </c>
      <c r="FV102" s="4"/>
      <c r="FW102" s="4">
        <v>14858</v>
      </c>
      <c r="FX102" s="4"/>
      <c r="FY102" s="4">
        <v>15684</v>
      </c>
      <c r="FZ102" s="10"/>
      <c r="GA102" s="10"/>
      <c r="GB102" s="10"/>
      <c r="GC102" s="10"/>
      <c r="GD102" s="4">
        <v>22471</v>
      </c>
      <c r="GE102" s="4"/>
      <c r="GF102" s="4"/>
      <c r="GG102" s="4"/>
      <c r="GH102" s="4"/>
      <c r="GI102" s="4">
        <v>16029</v>
      </c>
      <c r="GJ102" s="4"/>
      <c r="GK102" s="4"/>
      <c r="GL102" s="4"/>
      <c r="GM102" s="4">
        <v>21328</v>
      </c>
      <c r="GN102" s="10"/>
      <c r="GO102" s="10"/>
      <c r="GP102" s="4"/>
      <c r="GQ102" s="10"/>
      <c r="GR102" s="4">
        <v>9255</v>
      </c>
      <c r="GS102" s="10"/>
      <c r="GT102" s="4">
        <v>13928</v>
      </c>
      <c r="GU102" s="10"/>
      <c r="GV102" s="4">
        <v>11191</v>
      </c>
      <c r="GW102" s="10"/>
      <c r="GX102" s="10"/>
      <c r="GY102" s="10"/>
      <c r="GZ102" s="10"/>
      <c r="HA102" s="18"/>
      <c r="HB102" s="4"/>
      <c r="HC102" s="77">
        <f t="shared" si="79"/>
        <v>5.8575919123996928E-2</v>
      </c>
      <c r="HD102" s="8">
        <f t="shared" si="86"/>
        <v>183872.52000000002</v>
      </c>
      <c r="HE102" s="2"/>
      <c r="HF102" s="3"/>
      <c r="HG102" s="4">
        <v>22592</v>
      </c>
      <c r="HH102" s="4"/>
      <c r="HI102" s="4"/>
      <c r="HJ102" s="4">
        <v>18379</v>
      </c>
      <c r="HK102" s="4"/>
      <c r="HL102" s="4"/>
      <c r="HM102" s="4"/>
      <c r="HN102" s="4">
        <v>21134</v>
      </c>
      <c r="HO102" s="4"/>
      <c r="HP102" s="4"/>
      <c r="HQ102" s="4">
        <v>20979</v>
      </c>
      <c r="HR102" s="4">
        <v>24355</v>
      </c>
      <c r="HS102" s="4"/>
      <c r="HT102" s="10"/>
      <c r="HU102" s="10"/>
      <c r="HV102" s="4">
        <v>8944</v>
      </c>
      <c r="HW102" s="4"/>
      <c r="HX102" s="4"/>
      <c r="HY102" s="4">
        <v>10026</v>
      </c>
      <c r="HZ102" s="4">
        <v>20842</v>
      </c>
      <c r="IA102" s="4"/>
      <c r="IB102" s="4"/>
      <c r="IC102" s="4"/>
      <c r="ID102" s="10"/>
      <c r="IE102" s="4">
        <v>24108</v>
      </c>
      <c r="IF102" s="10"/>
      <c r="IG102" s="4">
        <v>18540</v>
      </c>
      <c r="IH102" s="4"/>
      <c r="II102" s="4"/>
      <c r="IJ102" s="4"/>
      <c r="IK102" s="4"/>
      <c r="IL102" s="4">
        <v>20823</v>
      </c>
      <c r="IM102" s="4">
        <v>21098</v>
      </c>
      <c r="IN102" s="4"/>
      <c r="IO102" s="4"/>
      <c r="IP102" s="4">
        <v>23972</v>
      </c>
      <c r="IQ102" s="4"/>
      <c r="IR102" s="4"/>
      <c r="IS102" s="4"/>
      <c r="IT102" s="10"/>
      <c r="IU102" s="4"/>
      <c r="IV102" s="4"/>
      <c r="IW102" s="4"/>
      <c r="IX102" s="10"/>
      <c r="IY102" s="4"/>
      <c r="IZ102" s="4">
        <v>20524</v>
      </c>
      <c r="JA102" s="4">
        <v>19707</v>
      </c>
      <c r="JB102" s="4"/>
      <c r="JC102" s="4"/>
      <c r="JD102" s="4"/>
      <c r="JE102" s="4"/>
      <c r="JF102" s="10"/>
      <c r="JG102" s="10"/>
      <c r="JH102" s="10"/>
      <c r="JI102" s="4"/>
      <c r="JJ102" s="4"/>
      <c r="JK102" s="4">
        <v>13979</v>
      </c>
      <c r="JL102" s="4"/>
      <c r="JM102" s="4"/>
      <c r="JN102" s="10">
        <v>19859</v>
      </c>
      <c r="JO102" s="10"/>
      <c r="JP102" s="4"/>
      <c r="JQ102" s="4"/>
      <c r="JR102" s="4"/>
      <c r="JS102" s="4">
        <v>14564</v>
      </c>
      <c r="JT102" s="4"/>
      <c r="JU102" s="10"/>
      <c r="JV102" s="4">
        <v>13308</v>
      </c>
      <c r="JW102" s="4"/>
      <c r="JX102" s="4">
        <v>27358</v>
      </c>
      <c r="JY102" s="4"/>
      <c r="JZ102" s="4"/>
      <c r="KA102" s="4"/>
      <c r="KB102" s="4"/>
      <c r="KC102" s="4">
        <v>21798</v>
      </c>
      <c r="KD102" s="10"/>
      <c r="KE102" s="10"/>
      <c r="KF102" s="10"/>
      <c r="KG102" s="4">
        <v>16521</v>
      </c>
      <c r="KH102" s="10"/>
      <c r="KI102" s="10"/>
      <c r="KJ102" s="10"/>
      <c r="KK102" s="10"/>
      <c r="KL102" s="4">
        <v>12561</v>
      </c>
      <c r="KM102" s="10"/>
      <c r="KN102" s="4"/>
      <c r="KO102" s="4"/>
      <c r="KP102" s="4">
        <v>11265</v>
      </c>
      <c r="KQ102" s="4">
        <v>22594</v>
      </c>
      <c r="KR102" s="10"/>
      <c r="KS102" s="4">
        <v>9947</v>
      </c>
      <c r="KT102" s="4"/>
      <c r="KU102" s="4"/>
      <c r="KV102" s="4">
        <v>17573</v>
      </c>
      <c r="KW102" s="4"/>
      <c r="KX102" s="18"/>
      <c r="KY102" s="4"/>
      <c r="KZ102" s="77">
        <f t="shared" si="80"/>
        <v>8.1600076550362305E-2</v>
      </c>
      <c r="LA102" s="8">
        <f t="shared" si="97"/>
        <v>497350</v>
      </c>
      <c r="LB102" s="2"/>
      <c r="LC102" s="43"/>
      <c r="LD102" s="1">
        <v>4671</v>
      </c>
      <c r="LE102" s="1">
        <v>8737</v>
      </c>
      <c r="LF102" s="1">
        <v>9322</v>
      </c>
      <c r="LG102" s="1">
        <v>15977</v>
      </c>
      <c r="LI102" s="1">
        <v>5700</v>
      </c>
      <c r="LJ102" s="1">
        <v>6752</v>
      </c>
      <c r="LL102" s="1">
        <v>14910</v>
      </c>
      <c r="LM102" s="1">
        <v>12567</v>
      </c>
      <c r="LR102" s="1">
        <v>2715</v>
      </c>
      <c r="LY102" s="1">
        <v>6369</v>
      </c>
      <c r="MD102" s="1">
        <v>15048</v>
      </c>
      <c r="ME102" s="1">
        <v>9089</v>
      </c>
      <c r="MF102" s="1">
        <v>7664</v>
      </c>
      <c r="MI102" s="1">
        <v>20581</v>
      </c>
      <c r="ML102" s="1">
        <v>7404</v>
      </c>
      <c r="MM102" s="1">
        <v>6976</v>
      </c>
      <c r="MN102" s="1">
        <v>9923</v>
      </c>
      <c r="MO102" s="172"/>
      <c r="MQ102" s="1">
        <v>7282</v>
      </c>
      <c r="MT102" s="1">
        <v>14457</v>
      </c>
      <c r="MU102" s="1">
        <v>9915</v>
      </c>
      <c r="MV102" s="1">
        <v>22005</v>
      </c>
      <c r="MW102" s="1">
        <v>8350</v>
      </c>
      <c r="MX102" s="1">
        <v>14673</v>
      </c>
      <c r="NC102" s="1">
        <v>15798</v>
      </c>
      <c r="ND102" s="1">
        <v>9553</v>
      </c>
      <c r="NF102" s="1">
        <v>13382</v>
      </c>
      <c r="NG102" s="1">
        <v>10447</v>
      </c>
      <c r="NH102" s="1">
        <v>4606</v>
      </c>
      <c r="NM102" s="1">
        <v>5633</v>
      </c>
      <c r="NN102" s="1">
        <v>10429</v>
      </c>
      <c r="NO102" s="77"/>
      <c r="NP102" s="63"/>
      <c r="NQ102"/>
      <c r="NR102" s="77">
        <f t="shared" si="81"/>
        <v>5.5448065173116089E-2</v>
      </c>
      <c r="NS102" s="8">
        <f t="shared" si="84"/>
        <v>310935</v>
      </c>
      <c r="NT102" s="2"/>
      <c r="NU102" s="7"/>
      <c r="NV102" s="4">
        <v>1439</v>
      </c>
      <c r="NW102" s="4"/>
      <c r="NX102" s="4"/>
      <c r="NY102" s="4"/>
      <c r="NZ102" s="4"/>
      <c r="OA102" s="4">
        <v>12382</v>
      </c>
      <c r="OB102" s="4">
        <v>12168</v>
      </c>
      <c r="OC102" s="4"/>
      <c r="OD102" s="4"/>
      <c r="OE102" s="77">
        <f t="shared" si="82"/>
        <v>4.4657930701824902E-2</v>
      </c>
      <c r="OF102" s="8">
        <f t="shared" si="71"/>
        <v>25989</v>
      </c>
      <c r="OG102" s="2"/>
      <c r="OI102" s="1">
        <v>21761</v>
      </c>
      <c r="OJ102" s="40"/>
      <c r="OK102" s="40"/>
      <c r="OL102" s="40"/>
      <c r="OM102" s="40"/>
      <c r="ON102" s="40"/>
      <c r="OO102" s="40"/>
      <c r="OQ102" s="40"/>
      <c r="OR102" s="77">
        <f t="shared" si="83"/>
        <v>8.340670033826051E-3</v>
      </c>
      <c r="OS102" s="8">
        <f t="shared" si="85"/>
        <v>21761</v>
      </c>
      <c r="OT102" s="37"/>
      <c r="OU102" s="126">
        <f t="shared" si="65"/>
        <v>762970</v>
      </c>
      <c r="OV102" s="71">
        <f t="shared" si="73"/>
        <v>5.7354449194719548E-2</v>
      </c>
      <c r="OW102" s="139">
        <f>IF(A102="","",SUM(Z$17:Z102))</f>
        <v>20000</v>
      </c>
      <c r="OX102" s="139">
        <f t="shared" si="87"/>
        <v>787198</v>
      </c>
      <c r="OY102" s="132">
        <f t="shared" si="88"/>
        <v>0.10315321564654163</v>
      </c>
      <c r="OZ102" s="140">
        <f t="shared" si="66"/>
        <v>1018146.52</v>
      </c>
      <c r="PA102" s="84">
        <f t="shared" si="77"/>
        <v>6.8354928205967669E-2</v>
      </c>
      <c r="PB102" s="130">
        <f>IF(A102="","",SUM(HB$17:HB102)+SUM(KY$17:KY102))</f>
        <v>115756.47</v>
      </c>
      <c r="PC102" s="131">
        <f t="shared" si="89"/>
        <v>796978.99</v>
      </c>
      <c r="PD102" s="132">
        <f t="shared" si="90"/>
        <v>0.20659144826583861</v>
      </c>
      <c r="PE102" s="133">
        <f t="shared" si="67"/>
        <v>681222.52</v>
      </c>
      <c r="PF102" s="84">
        <f t="shared" si="69"/>
        <v>7.5287391519842942E-2</v>
      </c>
      <c r="PG102" s="133">
        <f t="shared" si="68"/>
        <v>1099894</v>
      </c>
      <c r="PH102" s="84" t="str">
        <f t="shared" si="70"/>
        <v/>
      </c>
      <c r="PI102" s="135">
        <f t="shared" si="91"/>
        <v>1781116.52</v>
      </c>
      <c r="PJ102" s="136">
        <f t="shared" si="74"/>
        <v>6.3614795508351807E-2</v>
      </c>
      <c r="PK102" s="123">
        <f t="shared" si="72"/>
        <v>7.2771115976377698E-2</v>
      </c>
      <c r="PL102" s="137">
        <f t="shared" si="92"/>
        <v>135756.47</v>
      </c>
      <c r="PM102" s="9">
        <f t="shared" si="93"/>
        <v>1584176.99</v>
      </c>
      <c r="PN102" s="138">
        <f t="shared" si="94"/>
        <v>0.15287494450953706</v>
      </c>
      <c r="PO102" s="86">
        <f>IF(PI102="","",MAX(PI$15:PI102))</f>
        <v>1940884.25</v>
      </c>
      <c r="PP102" s="113">
        <f t="shared" si="75"/>
        <v>-8.9700886048712847E-2</v>
      </c>
      <c r="PQ102" s="41"/>
      <c r="PR102" s="302"/>
    </row>
    <row r="103" spans="1:434" s="1" customFormat="1" ht="15" customHeight="1" x14ac:dyDescent="0.45">
      <c r="A103" s="18">
        <v>45354</v>
      </c>
      <c r="B103" s="3"/>
      <c r="C103" s="4">
        <v>136490</v>
      </c>
      <c r="D103" s="10"/>
      <c r="E103" s="10"/>
      <c r="F103" s="10"/>
      <c r="G103" s="4"/>
      <c r="H103" s="4"/>
      <c r="I103" s="4">
        <v>36250</v>
      </c>
      <c r="J103" s="4">
        <v>20388</v>
      </c>
      <c r="K103" s="4">
        <v>16185</v>
      </c>
      <c r="L103" s="4">
        <v>18529</v>
      </c>
      <c r="M103" s="4">
        <v>20775</v>
      </c>
      <c r="N103" s="4"/>
      <c r="O103" s="10"/>
      <c r="P103" s="4"/>
      <c r="Q103" s="4"/>
      <c r="R103" s="4"/>
      <c r="S103" s="4">
        <v>14760</v>
      </c>
      <c r="T103" s="4">
        <v>11448</v>
      </c>
      <c r="U103" s="10"/>
      <c r="V103" s="10"/>
      <c r="W103" s="10"/>
      <c r="X103" s="4"/>
      <c r="Y103" s="18" t="str">
        <f t="shared" si="64"/>
        <v/>
      </c>
      <c r="Z103" s="4"/>
      <c r="AA103" s="77">
        <f t="shared" si="78"/>
        <v>0.11980132261442489</v>
      </c>
      <c r="AB103" s="8">
        <f t="shared" si="95"/>
        <v>274825</v>
      </c>
      <c r="AC103" s="2"/>
      <c r="AD103" s="3"/>
      <c r="AE103" s="4">
        <v>26186</v>
      </c>
      <c r="AF103" s="4">
        <f>29732+24668</f>
        <v>54400</v>
      </c>
      <c r="AG103" s="4"/>
      <c r="AH103" s="4"/>
      <c r="AI103" s="1">
        <v>9840</v>
      </c>
      <c r="AJ103" s="4">
        <v>20495</v>
      </c>
      <c r="AK103" s="4"/>
      <c r="AL103" s="4">
        <v>21252</v>
      </c>
      <c r="AM103" s="4"/>
      <c r="AN103" s="1">
        <v>5930</v>
      </c>
      <c r="AO103" s="4"/>
      <c r="AP103" s="10"/>
      <c r="AQ103" s="4"/>
      <c r="AR103" s="4">
        <v>7641</v>
      </c>
      <c r="AS103" s="4"/>
      <c r="AT103" s="4">
        <v>116577</v>
      </c>
      <c r="AU103" s="4"/>
      <c r="AV103" s="1">
        <v>2789</v>
      </c>
      <c r="AW103" s="4"/>
      <c r="AX103" s="4"/>
      <c r="AY103" s="4"/>
      <c r="AZ103" s="4"/>
      <c r="BA103" s="4"/>
      <c r="BB103" s="4"/>
      <c r="BC103" s="4"/>
      <c r="BD103" s="4"/>
      <c r="BE103" s="4">
        <v>18513</v>
      </c>
      <c r="BF103" s="4"/>
      <c r="BG103" s="1">
        <v>6819</v>
      </c>
      <c r="BH103" s="4"/>
      <c r="BI103" s="4"/>
      <c r="BJ103" s="4">
        <v>21145</v>
      </c>
      <c r="BK103" s="4"/>
      <c r="BL103" s="4"/>
      <c r="BM103" s="4"/>
      <c r="BN103" s="4">
        <v>8093</v>
      </c>
      <c r="BO103" s="4"/>
      <c r="BP103" s="4"/>
      <c r="BQ103" s="4"/>
      <c r="BR103" s="1">
        <v>9227</v>
      </c>
      <c r="BS103" s="10"/>
      <c r="BT103" s="4"/>
      <c r="BU103" s="4"/>
      <c r="BV103" s="4"/>
      <c r="BW103" s="4"/>
      <c r="BX103" s="1">
        <v>6846</v>
      </c>
      <c r="BY103" s="1">
        <v>8736</v>
      </c>
      <c r="BZ103" s="1">
        <v>7188</v>
      </c>
      <c r="CA103" s="4"/>
      <c r="CB103" s="4"/>
      <c r="CC103" s="4"/>
      <c r="CD103" s="4"/>
      <c r="CE103" s="4"/>
      <c r="CF103" s="4">
        <v>83761</v>
      </c>
      <c r="CG103" s="4"/>
      <c r="CH103" s="4">
        <v>24477</v>
      </c>
      <c r="CI103" s="4"/>
      <c r="CJ103" s="10"/>
      <c r="CK103" s="4"/>
      <c r="CL103" s="10"/>
      <c r="CM103" s="1">
        <v>11070</v>
      </c>
      <c r="CN103" s="4"/>
      <c r="CO103" s="10"/>
      <c r="CP103" s="4"/>
      <c r="CQ103" s="4">
        <v>12986</v>
      </c>
      <c r="CR103" s="10"/>
      <c r="CS103" s="4">
        <v>6491</v>
      </c>
      <c r="CT103" s="4"/>
      <c r="CU103" s="4">
        <v>11802</v>
      </c>
      <c r="CV103" s="4">
        <v>22636</v>
      </c>
      <c r="CW103" s="4"/>
      <c r="CX103" s="4"/>
      <c r="CY103" s="77">
        <f t="shared" si="76"/>
        <v>5.8722916742304142E-2</v>
      </c>
      <c r="CZ103" s="8">
        <f t="shared" si="96"/>
        <v>524900</v>
      </c>
      <c r="DA103" s="2"/>
      <c r="DD103" s="1">
        <v>16092</v>
      </c>
      <c r="DE103" s="1">
        <v>15020</v>
      </c>
      <c r="DF103" s="1">
        <v>12656</v>
      </c>
      <c r="DH103" s="4"/>
      <c r="DJ103" s="4"/>
      <c r="DK103" s="1">
        <v>2769</v>
      </c>
      <c r="DL103" s="1">
        <v>15072</v>
      </c>
      <c r="DM103" s="1">
        <v>18412</v>
      </c>
      <c r="DN103" s="1">
        <v>14442</v>
      </c>
      <c r="DO103" s="1">
        <v>10086</v>
      </c>
      <c r="DP103" s="1">
        <v>19592</v>
      </c>
      <c r="DQ103" s="1">
        <v>14863</v>
      </c>
      <c r="DR103" s="1">
        <v>15984</v>
      </c>
      <c r="DS103" s="1">
        <v>9658</v>
      </c>
      <c r="DU103" s="1">
        <v>13475</v>
      </c>
      <c r="DX103" s="2"/>
      <c r="DY103" s="32"/>
      <c r="DZ103" s="4">
        <v>680</v>
      </c>
      <c r="EA103" s="32"/>
      <c r="EB103" s="32"/>
      <c r="EC103" s="32"/>
      <c r="ED103" s="32"/>
      <c r="EE103" s="4">
        <v>12544</v>
      </c>
      <c r="EF103" s="4">
        <v>12254</v>
      </c>
      <c r="EG103" s="32"/>
      <c r="EH103" s="32"/>
      <c r="EI103" s="32"/>
      <c r="EJ103" s="32"/>
      <c r="EK103" s="5"/>
      <c r="EO103" s="2"/>
      <c r="EQ103" s="468" t="s">
        <v>1</v>
      </c>
      <c r="ER103"/>
      <c r="ES103" s="6"/>
      <c r="ET103" s="10"/>
      <c r="EU103" s="10"/>
      <c r="EV103" s="10"/>
      <c r="EW103" s="10"/>
      <c r="EX103" s="4">
        <f>3081+3771</f>
        <v>6852</v>
      </c>
      <c r="EY103" s="4"/>
      <c r="EZ103" s="4"/>
      <c r="FA103" s="4"/>
      <c r="FB103" s="4"/>
      <c r="FC103" s="4"/>
      <c r="FD103" s="4"/>
      <c r="FE103" s="4"/>
      <c r="FF103" s="4"/>
      <c r="FG103" s="4"/>
      <c r="FH103" s="10"/>
      <c r="FI103" s="10"/>
      <c r="FJ103" s="10"/>
      <c r="FK103" s="10"/>
      <c r="FL103" s="10"/>
      <c r="FM103" s="10"/>
      <c r="FN103" s="4"/>
      <c r="FO103" s="4"/>
      <c r="FP103" s="10"/>
      <c r="FQ103" s="4"/>
      <c r="FR103" s="4"/>
      <c r="FS103" s="10"/>
      <c r="FT103" s="4">
        <v>36250</v>
      </c>
      <c r="FU103" s="4">
        <v>20388</v>
      </c>
      <c r="FV103" s="4"/>
      <c r="FW103" s="4">
        <v>16185</v>
      </c>
      <c r="FX103" s="4"/>
      <c r="FY103" s="4">
        <v>18529</v>
      </c>
      <c r="FZ103" s="10"/>
      <c r="GA103" s="10"/>
      <c r="GB103" s="10"/>
      <c r="GC103" s="10"/>
      <c r="GD103" s="4">
        <v>20775</v>
      </c>
      <c r="GE103" s="4"/>
      <c r="GF103" s="4"/>
      <c r="GG103" s="4"/>
      <c r="GH103" s="4"/>
      <c r="GI103" s="4">
        <v>16679</v>
      </c>
      <c r="GJ103" s="4"/>
      <c r="GK103" s="4"/>
      <c r="GL103" s="4">
        <v>4962</v>
      </c>
      <c r="GM103" s="4">
        <v>9316</v>
      </c>
      <c r="GN103" s="10"/>
      <c r="GO103" s="10"/>
      <c r="GP103" s="4"/>
      <c r="GQ103" s="10"/>
      <c r="GR103" s="4">
        <v>10119</v>
      </c>
      <c r="GS103" s="10"/>
      <c r="GT103" s="4">
        <v>14760</v>
      </c>
      <c r="GU103" s="10"/>
      <c r="GV103" s="4">
        <v>11448</v>
      </c>
      <c r="GW103" s="10"/>
      <c r="GX103" s="10"/>
      <c r="GY103" s="10"/>
      <c r="GZ103" s="10"/>
      <c r="HA103" s="18"/>
      <c r="HB103" s="4"/>
      <c r="HC103" s="77">
        <f t="shared" si="79"/>
        <v>1.3000746386681278E-2</v>
      </c>
      <c r="HD103" s="8">
        <f t="shared" si="86"/>
        <v>186263</v>
      </c>
      <c r="HE103" s="2"/>
      <c r="HF103" s="3"/>
      <c r="HG103" s="4">
        <v>20827</v>
      </c>
      <c r="HH103" s="4"/>
      <c r="HI103" s="4"/>
      <c r="HJ103" s="4">
        <v>20495</v>
      </c>
      <c r="HK103" s="4"/>
      <c r="HL103" s="4"/>
      <c r="HM103" s="4"/>
      <c r="HN103" s="4">
        <v>21252</v>
      </c>
      <c r="HO103" s="4"/>
      <c r="HP103" s="4"/>
      <c r="HQ103" s="4">
        <v>21129</v>
      </c>
      <c r="HR103" s="4">
        <v>27745</v>
      </c>
      <c r="HS103" s="4"/>
      <c r="HT103" s="10"/>
      <c r="HU103" s="10"/>
      <c r="HV103" s="4">
        <v>11241</v>
      </c>
      <c r="HW103" s="4"/>
      <c r="HX103" s="4"/>
      <c r="HY103" s="4">
        <v>10716</v>
      </c>
      <c r="HZ103" s="4">
        <v>20812</v>
      </c>
      <c r="IA103" s="4"/>
      <c r="IB103" s="4">
        <v>7641</v>
      </c>
      <c r="IC103" s="4"/>
      <c r="ID103" s="10"/>
      <c r="IE103" s="4">
        <v>21119</v>
      </c>
      <c r="IF103" s="10"/>
      <c r="IG103" s="4">
        <v>17415</v>
      </c>
      <c r="IH103" s="4"/>
      <c r="II103" s="4"/>
      <c r="IJ103" s="4"/>
      <c r="IK103" s="4"/>
      <c r="IL103" s="4">
        <v>23180</v>
      </c>
      <c r="IM103" s="4">
        <v>18513</v>
      </c>
      <c r="IN103" s="4"/>
      <c r="IO103" s="4"/>
      <c r="IP103" s="4">
        <v>21145</v>
      </c>
      <c r="IQ103" s="4"/>
      <c r="IR103" s="4"/>
      <c r="IS103" s="4">
        <v>8093</v>
      </c>
      <c r="IT103" s="10"/>
      <c r="IU103" s="4"/>
      <c r="IV103" s="4"/>
      <c r="IW103" s="4"/>
      <c r="IX103" s="10"/>
      <c r="IY103" s="4"/>
      <c r="IZ103" s="4">
        <v>20836</v>
      </c>
      <c r="JA103" s="4">
        <v>19620</v>
      </c>
      <c r="JB103" s="4"/>
      <c r="JC103" s="4"/>
      <c r="JD103" s="4"/>
      <c r="JE103" s="4"/>
      <c r="JF103" s="10"/>
      <c r="JG103" s="10"/>
      <c r="JH103" s="10"/>
      <c r="JI103" s="4"/>
      <c r="JJ103" s="4"/>
      <c r="JK103" s="4">
        <v>12860</v>
      </c>
      <c r="JL103" s="4"/>
      <c r="JM103" s="4"/>
      <c r="JN103" s="10">
        <v>17829</v>
      </c>
      <c r="JO103" s="10"/>
      <c r="JP103" s="4"/>
      <c r="JQ103" s="4"/>
      <c r="JR103" s="4"/>
      <c r="JS103" s="4">
        <v>14377</v>
      </c>
      <c r="JT103" s="4"/>
      <c r="JU103" s="10"/>
      <c r="JV103" s="4"/>
      <c r="JW103" s="4"/>
      <c r="JX103" s="4">
        <v>24477</v>
      </c>
      <c r="JY103" s="4"/>
      <c r="JZ103" s="4"/>
      <c r="KA103" s="4"/>
      <c r="KB103" s="4"/>
      <c r="KC103" s="4">
        <v>24069</v>
      </c>
      <c r="KD103" s="10"/>
      <c r="KE103" s="10"/>
      <c r="KF103" s="10"/>
      <c r="KG103" s="4">
        <v>17220</v>
      </c>
      <c r="KH103" s="10"/>
      <c r="KI103" s="10"/>
      <c r="KJ103" s="10"/>
      <c r="KK103" s="10"/>
      <c r="KL103" s="4">
        <v>12986</v>
      </c>
      <c r="KM103" s="10"/>
      <c r="KN103" s="4">
        <v>6491</v>
      </c>
      <c r="KO103" s="4"/>
      <c r="KP103" s="4">
        <v>11802</v>
      </c>
      <c r="KQ103" s="4">
        <v>22636</v>
      </c>
      <c r="KR103" s="10"/>
      <c r="KS103" s="4">
        <v>16116</v>
      </c>
      <c r="KT103" s="4"/>
      <c r="KU103" s="4"/>
      <c r="KV103" s="4">
        <v>17729</v>
      </c>
      <c r="KW103" s="4"/>
      <c r="KX103" s="18"/>
      <c r="KY103" s="4"/>
      <c r="KZ103" s="77">
        <f t="shared" si="80"/>
        <v>2.6180758017492711E-2</v>
      </c>
      <c r="LA103" s="8">
        <f t="shared" si="97"/>
        <v>510371</v>
      </c>
      <c r="LB103" s="2"/>
      <c r="LC103" s="43"/>
      <c r="LD103" s="1">
        <v>3505</v>
      </c>
      <c r="LE103" s="1">
        <v>8813</v>
      </c>
      <c r="LF103" s="1">
        <v>9840</v>
      </c>
      <c r="LG103" s="1">
        <v>16092</v>
      </c>
      <c r="LI103" s="1">
        <v>5930</v>
      </c>
      <c r="LJ103" s="1">
        <v>6875</v>
      </c>
      <c r="LL103" s="1">
        <v>15020</v>
      </c>
      <c r="LM103" s="1">
        <v>12656</v>
      </c>
      <c r="LR103" s="1">
        <v>2789</v>
      </c>
      <c r="LY103" s="1">
        <v>6819</v>
      </c>
      <c r="LZ103" s="1">
        <v>2769</v>
      </c>
      <c r="MD103" s="1">
        <v>15072</v>
      </c>
      <c r="ME103" s="1">
        <v>9227</v>
      </c>
      <c r="MF103" s="1">
        <v>6540</v>
      </c>
      <c r="MI103" s="1">
        <v>18412</v>
      </c>
      <c r="ML103" s="1">
        <v>6800</v>
      </c>
      <c r="MM103" s="1">
        <v>6846</v>
      </c>
      <c r="MN103" s="1">
        <v>8736</v>
      </c>
      <c r="MO103" s="172"/>
      <c r="MQ103" s="1">
        <v>7188</v>
      </c>
      <c r="MT103" s="1">
        <v>14442</v>
      </c>
      <c r="MU103" s="1">
        <v>10086</v>
      </c>
      <c r="MV103" s="1">
        <v>19592</v>
      </c>
      <c r="MW103" s="1">
        <v>8460</v>
      </c>
      <c r="MX103" s="1">
        <v>14863</v>
      </c>
      <c r="NC103" s="1">
        <v>15984</v>
      </c>
      <c r="ND103" s="1">
        <v>9658</v>
      </c>
      <c r="NF103" s="1">
        <v>13475</v>
      </c>
      <c r="NG103" s="1">
        <v>11070</v>
      </c>
      <c r="NH103" s="1">
        <v>4761</v>
      </c>
      <c r="NM103" s="1">
        <v>5901</v>
      </c>
      <c r="NN103" s="1">
        <v>10289</v>
      </c>
      <c r="NO103" s="77"/>
      <c r="NP103" s="63"/>
      <c r="NQ103"/>
      <c r="NR103" s="77">
        <f t="shared" si="81"/>
        <v>-7.799057680865776E-3</v>
      </c>
      <c r="NS103" s="8">
        <f t="shared" si="84"/>
        <v>308510</v>
      </c>
      <c r="NT103" s="2"/>
      <c r="NU103" s="7"/>
      <c r="NV103" s="4">
        <v>680</v>
      </c>
      <c r="NW103" s="4"/>
      <c r="NX103" s="4"/>
      <c r="NY103" s="4"/>
      <c r="NZ103" s="4"/>
      <c r="OA103" s="4">
        <v>12544</v>
      </c>
      <c r="OB103" s="4">
        <v>12254</v>
      </c>
      <c r="OC103" s="4"/>
      <c r="OD103" s="4"/>
      <c r="OE103" s="77">
        <f t="shared" si="82"/>
        <v>-1.9662164762014697E-2</v>
      </c>
      <c r="OF103" s="8">
        <f t="shared" si="71"/>
        <v>25478</v>
      </c>
      <c r="OG103" s="2"/>
      <c r="OI103" s="1">
        <v>15206</v>
      </c>
      <c r="OJ103" s="40"/>
      <c r="OK103" s="40"/>
      <c r="OL103" s="40"/>
      <c r="OM103" s="40"/>
      <c r="ON103" s="40"/>
      <c r="OO103" s="40"/>
      <c r="OQ103" s="40"/>
      <c r="OR103" s="77">
        <f t="shared" si="83"/>
        <v>-0.30122696567253343</v>
      </c>
      <c r="OS103" s="8">
        <f t="shared" si="85"/>
        <v>15206</v>
      </c>
      <c r="OT103" s="37"/>
      <c r="OU103" s="126">
        <f t="shared" si="65"/>
        <v>814931</v>
      </c>
      <c r="OV103" s="71">
        <f t="shared" si="73"/>
        <v>6.8103595161015509E-2</v>
      </c>
      <c r="OW103" s="139">
        <f>IF(A103="","",SUM(Z$17:Z103))</f>
        <v>20000</v>
      </c>
      <c r="OX103" s="139">
        <f t="shared" si="87"/>
        <v>845203</v>
      </c>
      <c r="OY103" s="132">
        <f t="shared" si="88"/>
        <v>0.18443950229053419</v>
      </c>
      <c r="OZ103" s="140">
        <f t="shared" si="66"/>
        <v>1030622</v>
      </c>
      <c r="PA103" s="84">
        <f t="shared" si="77"/>
        <v>1.225312836113213E-2</v>
      </c>
      <c r="PB103" s="130">
        <f>IF(A103="","",SUM(HB$17:HB103)+SUM(KY$17:KY103))</f>
        <v>115756.47</v>
      </c>
      <c r="PC103" s="131">
        <f t="shared" si="89"/>
        <v>812390.47</v>
      </c>
      <c r="PD103" s="132">
        <f t="shared" si="90"/>
        <v>0.22992375715533642</v>
      </c>
      <c r="PE103" s="133">
        <f t="shared" si="67"/>
        <v>696634</v>
      </c>
      <c r="PF103" s="84">
        <f t="shared" si="69"/>
        <v>2.2623268531991546E-2</v>
      </c>
      <c r="PG103" s="133">
        <f t="shared" si="68"/>
        <v>1148919</v>
      </c>
      <c r="PH103" s="84" t="str">
        <f t="shared" si="70"/>
        <v/>
      </c>
      <c r="PI103" s="135">
        <f t="shared" si="91"/>
        <v>1845553</v>
      </c>
      <c r="PJ103" s="136">
        <f t="shared" si="74"/>
        <v>3.6177576972897862E-2</v>
      </c>
      <c r="PK103" s="123">
        <f t="shared" si="72"/>
        <v>8.8743465072130504E-2</v>
      </c>
      <c r="PL103" s="137">
        <f t="shared" si="92"/>
        <v>135756.47</v>
      </c>
      <c r="PM103" s="9">
        <f t="shared" si="93"/>
        <v>1657593.47</v>
      </c>
      <c r="PN103" s="138">
        <f t="shared" si="94"/>
        <v>0.20630333088326261</v>
      </c>
      <c r="PO103" s="86">
        <f>IF(PI103="","",MAX(PI$15:PI103))</f>
        <v>1940884.25</v>
      </c>
      <c r="PP103" s="113">
        <f t="shared" si="75"/>
        <v>-5.1654571827522699E-2</v>
      </c>
      <c r="PQ103" s="41"/>
      <c r="PR103" s="302"/>
    </row>
    <row r="104" spans="1:434" s="4" customFormat="1" ht="15" customHeight="1" x14ac:dyDescent="0.45">
      <c r="A104" s="18">
        <v>45415</v>
      </c>
      <c r="C104" s="4">
        <v>47443</v>
      </c>
      <c r="E104" s="4">
        <v>21908</v>
      </c>
      <c r="I104" s="4">
        <v>36685</v>
      </c>
      <c r="J104" s="4">
        <v>21376</v>
      </c>
      <c r="K104" s="4">
        <v>16070</v>
      </c>
      <c r="L104" s="4">
        <v>13336</v>
      </c>
      <c r="M104" s="4">
        <v>18300</v>
      </c>
      <c r="S104" s="4">
        <v>14868</v>
      </c>
      <c r="T104" s="4">
        <v>11734</v>
      </c>
      <c r="V104" s="4">
        <v>30769</v>
      </c>
      <c r="W104" s="4">
        <v>29930</v>
      </c>
      <c r="Y104" s="4" t="str">
        <f t="shared" si="64"/>
        <v/>
      </c>
      <c r="AA104" s="77">
        <f t="shared" si="78"/>
        <v>-4.5141453652324207E-2</v>
      </c>
      <c r="AB104" s="4">
        <f t="shared" si="95"/>
        <v>262419</v>
      </c>
      <c r="AC104" s="5"/>
      <c r="AE104" s="4">
        <v>2233</v>
      </c>
      <c r="AF104" s="4">
        <f>29813+24753</f>
        <v>54566</v>
      </c>
      <c r="AH104" s="4">
        <v>18338</v>
      </c>
      <c r="AI104" s="4">
        <v>9008</v>
      </c>
      <c r="AJ104" s="4">
        <v>14897</v>
      </c>
      <c r="AK104" s="4">
        <v>16154</v>
      </c>
      <c r="AL104" s="4">
        <v>20665</v>
      </c>
      <c r="AN104" s="4">
        <v>5875</v>
      </c>
      <c r="AR104" s="4">
        <v>8013</v>
      </c>
      <c r="AT104" s="4">
        <v>142872</v>
      </c>
      <c r="AV104" s="4">
        <v>2819</v>
      </c>
      <c r="BE104" s="4">
        <v>22577</v>
      </c>
      <c r="BG104" s="4">
        <v>6861</v>
      </c>
      <c r="BJ104" s="4">
        <v>15428</v>
      </c>
      <c r="BN104" s="4">
        <v>8035</v>
      </c>
      <c r="BR104" s="4">
        <v>9636</v>
      </c>
      <c r="BX104" s="4">
        <v>7750</v>
      </c>
      <c r="BY104" s="4">
        <v>9045</v>
      </c>
      <c r="BZ104" s="4">
        <v>7725</v>
      </c>
      <c r="CF104" s="4">
        <v>96482</v>
      </c>
      <c r="CH104" s="4">
        <v>24623</v>
      </c>
      <c r="CM104" s="4">
        <v>12390</v>
      </c>
      <c r="CQ104" s="4">
        <v>12195</v>
      </c>
      <c r="CS104" s="4">
        <v>12032</v>
      </c>
      <c r="CU104" s="4">
        <v>11690</v>
      </c>
      <c r="CV104" s="4">
        <v>22867</v>
      </c>
      <c r="CY104" s="4">
        <f t="shared" si="76"/>
        <v>9.5020003810249568E-2</v>
      </c>
      <c r="CZ104" s="8">
        <f t="shared" si="96"/>
        <v>574776</v>
      </c>
      <c r="DA104" s="5"/>
      <c r="DD104" s="4">
        <v>15871</v>
      </c>
      <c r="DE104" s="4">
        <v>14818</v>
      </c>
      <c r="DF104" s="4">
        <v>12486</v>
      </c>
      <c r="DG104" s="4">
        <v>8928</v>
      </c>
      <c r="DH104" s="4">
        <v>23949</v>
      </c>
      <c r="DK104" s="4">
        <v>2769</v>
      </c>
      <c r="DL104" s="4">
        <v>15084</v>
      </c>
      <c r="DM104" s="4">
        <v>18134</v>
      </c>
      <c r="DN104" s="4">
        <v>14379</v>
      </c>
      <c r="DO104" s="4">
        <v>9639</v>
      </c>
      <c r="DP104" s="4">
        <v>19316</v>
      </c>
      <c r="DQ104" s="4">
        <v>14862</v>
      </c>
      <c r="DR104" s="4">
        <v>15852</v>
      </c>
      <c r="DS104" s="4">
        <v>9421</v>
      </c>
      <c r="DU104" s="4">
        <v>13462</v>
      </c>
      <c r="DX104" s="5"/>
      <c r="DY104" s="32"/>
      <c r="DZ104" s="4">
        <v>823</v>
      </c>
      <c r="EA104" s="32"/>
      <c r="EB104" s="32"/>
      <c r="EC104" s="32"/>
      <c r="ED104" s="32"/>
      <c r="EE104" s="4">
        <v>12449</v>
      </c>
      <c r="EF104" s="4">
        <v>12242</v>
      </c>
      <c r="EG104" s="32"/>
      <c r="EH104" s="32"/>
      <c r="EI104" s="32"/>
      <c r="EJ104" s="32"/>
      <c r="EK104" s="5"/>
      <c r="EO104" s="5"/>
      <c r="EQ104" s="468" t="s">
        <v>1</v>
      </c>
      <c r="ER104"/>
      <c r="EX104" s="4">
        <v>7562</v>
      </c>
      <c r="FT104" s="4">
        <v>36685</v>
      </c>
      <c r="FU104" s="4">
        <v>21376</v>
      </c>
      <c r="FW104" s="4">
        <v>16070</v>
      </c>
      <c r="FY104" s="4">
        <v>13336</v>
      </c>
      <c r="GD104" s="4">
        <v>18300</v>
      </c>
      <c r="GI104" s="4">
        <v>13157</v>
      </c>
      <c r="GM104" s="4">
        <v>12794</v>
      </c>
      <c r="GR104" s="4">
        <v>9614</v>
      </c>
      <c r="GT104" s="4">
        <v>14868</v>
      </c>
      <c r="GV104" s="4">
        <v>11734</v>
      </c>
      <c r="HC104" s="4">
        <f t="shared" si="79"/>
        <v>-5.7805361236531141E-2</v>
      </c>
      <c r="HD104" s="8">
        <f t="shared" si="86"/>
        <v>175496</v>
      </c>
      <c r="HE104" s="5"/>
      <c r="HG104" s="4">
        <v>34409</v>
      </c>
      <c r="HH104" s="4">
        <v>18338</v>
      </c>
      <c r="HJ104" s="4">
        <v>14897</v>
      </c>
      <c r="HM104" s="4">
        <v>16154</v>
      </c>
      <c r="HN104" s="4">
        <v>20665</v>
      </c>
      <c r="HQ104" s="4">
        <v>16772</v>
      </c>
      <c r="HR104" s="4">
        <v>28500</v>
      </c>
      <c r="HV104" s="4">
        <v>11159</v>
      </c>
      <c r="HY104" s="4">
        <v>15180</v>
      </c>
      <c r="IB104" s="4">
        <v>8013</v>
      </c>
      <c r="IE104" s="4">
        <v>19434</v>
      </c>
      <c r="IG104" s="4">
        <v>19503</v>
      </c>
      <c r="IL104" s="4">
        <v>12715</v>
      </c>
      <c r="IM104" s="4">
        <v>22577</v>
      </c>
      <c r="IP104" s="4">
        <v>15428</v>
      </c>
      <c r="IS104" s="4">
        <v>8035</v>
      </c>
      <c r="IZ104" s="4">
        <v>21760</v>
      </c>
      <c r="JA104" s="4">
        <v>18119</v>
      </c>
      <c r="JM104" s="4">
        <v>11974</v>
      </c>
      <c r="JN104" s="10">
        <v>16126</v>
      </c>
      <c r="JS104" s="4">
        <v>15450</v>
      </c>
      <c r="JX104" s="4">
        <v>24623</v>
      </c>
      <c r="KC104" s="4">
        <v>22822</v>
      </c>
      <c r="KG104" s="4">
        <v>17346</v>
      </c>
      <c r="KL104" s="4">
        <v>12195</v>
      </c>
      <c r="KN104" s="4">
        <v>12032</v>
      </c>
      <c r="KP104" s="4">
        <v>11690</v>
      </c>
      <c r="KQ104" s="4">
        <v>22867</v>
      </c>
      <c r="KV104" s="4">
        <v>15455</v>
      </c>
      <c r="KZ104" s="4">
        <f t="shared" si="80"/>
        <v>-1.2016748600527852E-2</v>
      </c>
      <c r="LA104" s="8">
        <f t="shared" si="97"/>
        <v>504238</v>
      </c>
      <c r="LB104" s="5"/>
      <c r="LD104" s="4">
        <v>3273</v>
      </c>
      <c r="LE104" s="4">
        <v>8860</v>
      </c>
      <c r="LF104" s="4">
        <v>9008</v>
      </c>
      <c r="LG104" s="4">
        <v>15871</v>
      </c>
      <c r="LI104" s="4">
        <v>5875</v>
      </c>
      <c r="LJ104" s="4">
        <v>6855</v>
      </c>
      <c r="LL104" s="4">
        <v>14818</v>
      </c>
      <c r="LM104" s="4">
        <v>12486</v>
      </c>
      <c r="LR104" s="4">
        <v>2819</v>
      </c>
      <c r="LT104" s="4">
        <v>8928</v>
      </c>
      <c r="LY104" s="4">
        <v>6861</v>
      </c>
      <c r="LZ104" s="4">
        <v>2769</v>
      </c>
      <c r="MD104" s="4">
        <v>15084</v>
      </c>
      <c r="ME104" s="4">
        <v>9636</v>
      </c>
      <c r="MF104" s="4">
        <v>6039</v>
      </c>
      <c r="MI104" s="4">
        <v>18134</v>
      </c>
      <c r="ML104" s="4">
        <v>6578</v>
      </c>
      <c r="MM104" s="4">
        <v>7750</v>
      </c>
      <c r="MN104" s="4">
        <v>9045</v>
      </c>
      <c r="MQ104" s="4">
        <v>7725</v>
      </c>
      <c r="MT104" s="4">
        <v>14379</v>
      </c>
      <c r="MU104" s="4">
        <v>9639</v>
      </c>
      <c r="MV104" s="4">
        <v>19316</v>
      </c>
      <c r="MX104" s="4">
        <v>14862</v>
      </c>
      <c r="NC104" s="4">
        <v>15852</v>
      </c>
      <c r="ND104" s="4">
        <v>9421</v>
      </c>
      <c r="NF104" s="4">
        <v>13462</v>
      </c>
      <c r="NG104" s="4">
        <v>12390</v>
      </c>
      <c r="NH104" s="4">
        <v>4472</v>
      </c>
      <c r="NM104" s="4">
        <v>5845</v>
      </c>
      <c r="NN104" s="4">
        <v>10394</v>
      </c>
      <c r="NO104" s="181"/>
      <c r="NR104" s="4">
        <f t="shared" si="81"/>
        <v>-2.0744870506628636E-4</v>
      </c>
      <c r="NS104" s="8">
        <f t="shared" si="84"/>
        <v>308446</v>
      </c>
      <c r="NT104" s="5"/>
      <c r="NV104" s="4">
        <v>823</v>
      </c>
      <c r="OA104" s="4">
        <v>12449</v>
      </c>
      <c r="OB104" s="4">
        <v>12242</v>
      </c>
      <c r="OE104" s="4">
        <f t="shared" si="82"/>
        <v>1.4129837506868671E-3</v>
      </c>
      <c r="OF104" s="8">
        <f t="shared" si="71"/>
        <v>25514</v>
      </c>
      <c r="OG104" s="5"/>
      <c r="OI104" s="4">
        <v>216</v>
      </c>
      <c r="OO104" s="4">
        <v>14369</v>
      </c>
      <c r="OR104" s="4">
        <f t="shared" si="83"/>
        <v>-4.0839142443772194E-2</v>
      </c>
      <c r="OS104" s="8">
        <f t="shared" si="85"/>
        <v>14585</v>
      </c>
      <c r="OT104" s="5"/>
      <c r="OU104" s="4">
        <f t="shared" si="65"/>
        <v>851780</v>
      </c>
      <c r="OV104" s="4">
        <f t="shared" si="73"/>
        <v>4.5217325147773248E-2</v>
      </c>
      <c r="OW104" s="4">
        <f>IF(A104="","",SUM(Z$17:Z104))</f>
        <v>20000</v>
      </c>
      <c r="OX104" s="4">
        <f t="shared" si="87"/>
        <v>882709</v>
      </c>
      <c r="OY104" s="4">
        <f t="shared" si="88"/>
        <v>0.2369991689894323</v>
      </c>
      <c r="OZ104" s="4">
        <f t="shared" si="66"/>
        <v>1013694</v>
      </c>
      <c r="PA104" s="4">
        <f t="shared" si="77"/>
        <v>-1.6425032650186005E-2</v>
      </c>
      <c r="PB104" s="4">
        <f>IF(A104="","",SUM(HB$17:HB104)+SUM(KY$17:KY104))</f>
        <v>115756.47</v>
      </c>
      <c r="PC104" s="4">
        <f t="shared" si="89"/>
        <v>795490.47</v>
      </c>
      <c r="PD104" s="4">
        <f t="shared" si="90"/>
        <v>0.20433789387468373</v>
      </c>
      <c r="PE104" s="4">
        <f t="shared" si="67"/>
        <v>679734</v>
      </c>
      <c r="PF104" s="4">
        <f t="shared" si="69"/>
        <v>-2.4259510733039155E-2</v>
      </c>
      <c r="PG104" s="4">
        <f t="shared" si="68"/>
        <v>1185740</v>
      </c>
      <c r="PH104" s="4" t="str">
        <f t="shared" si="70"/>
        <v/>
      </c>
      <c r="PI104" s="4">
        <f t="shared" si="91"/>
        <v>1865474</v>
      </c>
      <c r="PJ104" s="4">
        <f t="shared" si="74"/>
        <v>1.0794054681713286E-2</v>
      </c>
      <c r="PK104" s="4">
        <f t="shared" si="72"/>
        <v>0.20812044406606092</v>
      </c>
      <c r="PL104" s="4">
        <f t="shared" si="92"/>
        <v>135756.47</v>
      </c>
      <c r="PM104" s="4">
        <f t="shared" si="93"/>
        <v>1678199.47</v>
      </c>
      <c r="PN104" s="4">
        <f t="shared" si="94"/>
        <v>0.22129921913092837</v>
      </c>
      <c r="PO104" s="4">
        <f>IF(PI104="","",MAX(PI$15:PI104))</f>
        <v>1940884.25</v>
      </c>
      <c r="PP104" s="4">
        <f t="shared" si="75"/>
        <v>-4.0424176375548522E-2</v>
      </c>
      <c r="PR104" s="308"/>
    </row>
    <row r="105" spans="1:434" s="1" customFormat="1" ht="15" customHeight="1" x14ac:dyDescent="0.45">
      <c r="A105" s="18">
        <v>45474</v>
      </c>
      <c r="B105" s="3"/>
      <c r="C105" s="4">
        <v>48545</v>
      </c>
      <c r="D105" s="4"/>
      <c r="E105" s="4">
        <v>22312</v>
      </c>
      <c r="F105" s="4"/>
      <c r="G105" s="4"/>
      <c r="H105" s="4"/>
      <c r="I105" s="4">
        <v>36460</v>
      </c>
      <c r="J105" s="4">
        <v>10758</v>
      </c>
      <c r="K105" s="4">
        <v>15959</v>
      </c>
      <c r="L105" s="4">
        <v>14618</v>
      </c>
      <c r="M105" s="4">
        <v>18371</v>
      </c>
      <c r="N105" s="4"/>
      <c r="O105" s="4"/>
      <c r="P105" s="4"/>
      <c r="Q105" s="4">
        <v>7028</v>
      </c>
      <c r="R105" s="4"/>
      <c r="S105" s="4">
        <v>14871</v>
      </c>
      <c r="T105" s="4">
        <v>15301</v>
      </c>
      <c r="U105" s="4"/>
      <c r="V105" s="4">
        <v>30942</v>
      </c>
      <c r="W105" s="4">
        <v>30247</v>
      </c>
      <c r="X105" s="4"/>
      <c r="Y105" s="18" t="str">
        <f t="shared" si="64"/>
        <v/>
      </c>
      <c r="Z105" s="4"/>
      <c r="AA105" s="77">
        <f t="shared" si="78"/>
        <v>1.1405424149928168E-2</v>
      </c>
      <c r="AB105" s="8">
        <f t="shared" si="95"/>
        <v>265412</v>
      </c>
      <c r="AC105" s="2"/>
      <c r="AD105" s="3"/>
      <c r="AE105" s="4">
        <v>2251</v>
      </c>
      <c r="AF105" s="4">
        <f>29884.8+24818.25</f>
        <v>54703.05</v>
      </c>
      <c r="AG105" s="4"/>
      <c r="AH105" s="4">
        <v>22027</v>
      </c>
      <c r="AI105" s="1">
        <v>9128</v>
      </c>
      <c r="AJ105" s="4">
        <v>16000</v>
      </c>
      <c r="AK105" s="4">
        <v>16518</v>
      </c>
      <c r="AL105" s="4">
        <v>20090</v>
      </c>
      <c r="AM105" s="4"/>
      <c r="AN105" s="1">
        <v>5878</v>
      </c>
      <c r="AO105" s="4"/>
      <c r="AP105" s="4"/>
      <c r="AQ105" s="4"/>
      <c r="AR105" s="4">
        <v>7838</v>
      </c>
      <c r="AS105" s="4"/>
      <c r="AT105" s="4">
        <v>129712</v>
      </c>
      <c r="AU105" s="4"/>
      <c r="AV105" s="1">
        <v>2780</v>
      </c>
      <c r="AW105" s="4"/>
      <c r="AX105" s="4"/>
      <c r="AY105" s="4"/>
      <c r="AZ105" s="4"/>
      <c r="BA105" s="4"/>
      <c r="BB105" s="4"/>
      <c r="BC105" s="4"/>
      <c r="BD105" s="4"/>
      <c r="BE105" s="4">
        <v>25007</v>
      </c>
      <c r="BF105" s="4"/>
      <c r="BG105" s="1">
        <v>6888</v>
      </c>
      <c r="BH105" s="4"/>
      <c r="BI105" s="4"/>
      <c r="BJ105" s="4">
        <v>15074</v>
      </c>
      <c r="BK105" s="4"/>
      <c r="BL105" s="4"/>
      <c r="BM105" s="4">
        <v>14538</v>
      </c>
      <c r="BN105" s="4">
        <v>7979</v>
      </c>
      <c r="BO105" s="4"/>
      <c r="BP105" s="4"/>
      <c r="BQ105" s="4"/>
      <c r="BR105" s="1">
        <v>9788</v>
      </c>
      <c r="BS105" s="4"/>
      <c r="BT105" s="4"/>
      <c r="BU105" s="4"/>
      <c r="BV105" s="4"/>
      <c r="BW105" s="4"/>
      <c r="BX105" s="1">
        <v>8094</v>
      </c>
      <c r="BY105" s="1">
        <v>9015</v>
      </c>
      <c r="BZ105" s="1">
        <v>7541</v>
      </c>
      <c r="CA105" s="4"/>
      <c r="CB105" s="4"/>
      <c r="CC105" s="4"/>
      <c r="CD105" s="4"/>
      <c r="CE105" s="4"/>
      <c r="CF105" s="4">
        <v>90038</v>
      </c>
      <c r="CG105" s="4"/>
      <c r="CH105" s="4">
        <v>24912</v>
      </c>
      <c r="CI105" s="4"/>
      <c r="CJ105" s="4"/>
      <c r="CK105" s="4"/>
      <c r="CL105" s="4"/>
      <c r="CM105" s="1">
        <v>13632</v>
      </c>
      <c r="CN105" s="4"/>
      <c r="CO105" s="4"/>
      <c r="CP105" s="4"/>
      <c r="CQ105" s="4">
        <v>12504</v>
      </c>
      <c r="CR105" s="4"/>
      <c r="CS105" s="4">
        <v>14213</v>
      </c>
      <c r="CT105" s="4"/>
      <c r="CU105" s="4">
        <v>11820</v>
      </c>
      <c r="CV105" s="4">
        <v>14663</v>
      </c>
      <c r="CW105" s="4"/>
      <c r="CX105" s="4"/>
      <c r="CY105" s="77">
        <f t="shared" si="76"/>
        <v>-3.7318016061908526E-3</v>
      </c>
      <c r="CZ105" s="8">
        <f t="shared" si="96"/>
        <v>572631.05000000005</v>
      </c>
      <c r="DA105" s="2"/>
      <c r="DD105" s="1">
        <v>15934</v>
      </c>
      <c r="DE105" s="1">
        <v>14904</v>
      </c>
      <c r="DF105" s="1">
        <v>12541</v>
      </c>
      <c r="DG105" s="1">
        <v>10082</v>
      </c>
      <c r="DH105" s="4">
        <v>24539</v>
      </c>
      <c r="DJ105" s="4"/>
      <c r="DK105" s="1">
        <v>2769</v>
      </c>
      <c r="DL105" s="1">
        <v>15084</v>
      </c>
      <c r="DM105" s="1">
        <v>18226</v>
      </c>
      <c r="DN105" s="1">
        <v>14388</v>
      </c>
      <c r="DO105" s="1">
        <v>9714</v>
      </c>
      <c r="DP105" s="1">
        <v>19408</v>
      </c>
      <c r="DQ105" s="1">
        <v>14858</v>
      </c>
      <c r="DR105" s="1">
        <v>15928</v>
      </c>
      <c r="DS105" s="1">
        <v>9445</v>
      </c>
      <c r="DU105" s="1">
        <v>13489</v>
      </c>
      <c r="DX105" s="2"/>
      <c r="DY105" s="32"/>
      <c r="DZ105" s="4">
        <v>1003</v>
      </c>
      <c r="EA105" s="32"/>
      <c r="EB105" s="32"/>
      <c r="EC105" s="32"/>
      <c r="ED105" s="32"/>
      <c r="EE105" s="4">
        <v>12515</v>
      </c>
      <c r="EF105" s="4">
        <v>12269</v>
      </c>
      <c r="EG105" s="32"/>
      <c r="EH105" s="32"/>
      <c r="EI105" s="32"/>
      <c r="EJ105" s="32"/>
      <c r="EK105" s="5"/>
      <c r="EO105" s="2"/>
      <c r="EQ105" s="468" t="s">
        <v>1</v>
      </c>
      <c r="ER105"/>
      <c r="ES105" s="6"/>
      <c r="ET105" s="4"/>
      <c r="EU105" s="4"/>
      <c r="EV105" s="4"/>
      <c r="EW105" s="4"/>
      <c r="EX105" s="4">
        <v>8951</v>
      </c>
      <c r="EY105" s="4"/>
      <c r="EZ105" s="4"/>
      <c r="FA105" s="4"/>
      <c r="FB105" s="4"/>
      <c r="FC105" s="4"/>
      <c r="FD105" s="4"/>
      <c r="FE105" s="4"/>
      <c r="FF105" s="4"/>
      <c r="FG105" s="4"/>
      <c r="FH105" s="4"/>
      <c r="FI105" s="4"/>
      <c r="FJ105" s="4"/>
      <c r="FK105" s="4"/>
      <c r="FL105" s="4"/>
      <c r="FM105" s="4"/>
      <c r="FN105" s="4"/>
      <c r="FO105" s="4"/>
      <c r="FP105" s="4"/>
      <c r="FQ105" s="4"/>
      <c r="FR105" s="4"/>
      <c r="FS105" s="4"/>
      <c r="FT105" s="4">
        <v>36460</v>
      </c>
      <c r="FU105" s="4">
        <v>10758</v>
      </c>
      <c r="FV105" s="4"/>
      <c r="FW105" s="4">
        <v>15959</v>
      </c>
      <c r="FX105" s="4"/>
      <c r="FY105" s="4">
        <v>14618</v>
      </c>
      <c r="FZ105" s="4"/>
      <c r="GA105" s="4"/>
      <c r="GB105" s="4"/>
      <c r="GC105" s="4"/>
      <c r="GD105" s="4">
        <v>18371</v>
      </c>
      <c r="GE105" s="4"/>
      <c r="GF105" s="4"/>
      <c r="GG105" s="4"/>
      <c r="GH105" s="4"/>
      <c r="GI105" s="4">
        <v>15571</v>
      </c>
      <c r="GJ105" s="4"/>
      <c r="GK105" s="4"/>
      <c r="GL105" s="4"/>
      <c r="GM105" s="4"/>
      <c r="GN105" s="4"/>
      <c r="GO105" s="4"/>
      <c r="GP105" s="4">
        <v>7028</v>
      </c>
      <c r="GQ105" s="4"/>
      <c r="GR105" s="4">
        <v>10148</v>
      </c>
      <c r="GS105" s="4"/>
      <c r="GT105" s="4">
        <v>14871</v>
      </c>
      <c r="GU105" s="4"/>
      <c r="GV105" s="4">
        <v>15301</v>
      </c>
      <c r="GW105" s="4"/>
      <c r="GX105" s="4"/>
      <c r="GY105" s="4"/>
      <c r="GZ105" s="4"/>
      <c r="HA105" s="18"/>
      <c r="HB105" s="4"/>
      <c r="HC105" s="77">
        <f t="shared" si="79"/>
        <v>-4.2508091352509457E-2</v>
      </c>
      <c r="HD105" s="8">
        <f t="shared" si="86"/>
        <v>168036</v>
      </c>
      <c r="HE105" s="2"/>
      <c r="HF105" s="3"/>
      <c r="HG105" s="4">
        <v>34985</v>
      </c>
      <c r="HH105" s="4">
        <v>22027</v>
      </c>
      <c r="HI105" s="4"/>
      <c r="HJ105" s="4">
        <v>16000</v>
      </c>
      <c r="HK105" s="4"/>
      <c r="HL105" s="4"/>
      <c r="HM105" s="4">
        <v>16518</v>
      </c>
      <c r="HN105" s="4">
        <v>20090</v>
      </c>
      <c r="HO105" s="4"/>
      <c r="HP105" s="4"/>
      <c r="HQ105" s="4"/>
      <c r="HR105" s="4">
        <v>30250</v>
      </c>
      <c r="HS105" s="4"/>
      <c r="HT105" s="4"/>
      <c r="HU105" s="4"/>
      <c r="HV105" s="4">
        <v>12890</v>
      </c>
      <c r="HW105" s="4"/>
      <c r="HX105" s="4"/>
      <c r="HY105" s="4">
        <v>15040</v>
      </c>
      <c r="HZ105" s="4"/>
      <c r="IA105" s="4"/>
      <c r="IB105" s="4">
        <v>7838</v>
      </c>
      <c r="IC105" s="4"/>
      <c r="ID105" s="4"/>
      <c r="IE105" s="4">
        <v>20832</v>
      </c>
      <c r="IF105" s="4"/>
      <c r="IG105" s="4">
        <v>18998</v>
      </c>
      <c r="IH105" s="4"/>
      <c r="II105" s="4"/>
      <c r="IJ105" s="4"/>
      <c r="IK105" s="4"/>
      <c r="IL105" s="4">
        <v>15266</v>
      </c>
      <c r="IM105" s="4">
        <v>25007</v>
      </c>
      <c r="IN105" s="4"/>
      <c r="IO105" s="4"/>
      <c r="IP105" s="4">
        <v>15074</v>
      </c>
      <c r="IQ105" s="4">
        <v>7463</v>
      </c>
      <c r="IR105" s="4">
        <v>14538</v>
      </c>
      <c r="IS105" s="4">
        <v>7979</v>
      </c>
      <c r="IT105" s="4"/>
      <c r="IU105" s="4"/>
      <c r="IV105" s="4"/>
      <c r="IW105" s="4"/>
      <c r="IX105" s="4"/>
      <c r="IY105" s="4"/>
      <c r="IZ105" s="4">
        <v>22103</v>
      </c>
      <c r="JA105" s="4">
        <v>18246</v>
      </c>
      <c r="JB105" s="4"/>
      <c r="JC105" s="4"/>
      <c r="JD105" s="4"/>
      <c r="JE105" s="4"/>
      <c r="JF105" s="4"/>
      <c r="JG105" s="4"/>
      <c r="JH105" s="4"/>
      <c r="JI105" s="4"/>
      <c r="JJ105" s="4"/>
      <c r="JK105" s="4"/>
      <c r="JL105" s="4"/>
      <c r="JM105" s="4">
        <v>11044</v>
      </c>
      <c r="JN105" s="10">
        <v>13307</v>
      </c>
      <c r="JO105" s="4"/>
      <c r="JP105" s="4"/>
      <c r="JQ105" s="4"/>
      <c r="JR105" s="4"/>
      <c r="JS105" s="4">
        <v>15081</v>
      </c>
      <c r="JT105" s="4"/>
      <c r="JU105" s="4"/>
      <c r="JV105" s="4"/>
      <c r="JW105" s="4"/>
      <c r="JX105" s="4">
        <v>24912</v>
      </c>
      <c r="JY105" s="4"/>
      <c r="JZ105" s="4"/>
      <c r="KA105" s="4"/>
      <c r="KB105" s="4"/>
      <c r="KC105" s="4">
        <v>22800</v>
      </c>
      <c r="KD105" s="4"/>
      <c r="KE105" s="4"/>
      <c r="KF105" s="4"/>
      <c r="KG105" s="4">
        <v>17350</v>
      </c>
      <c r="KH105" s="4"/>
      <c r="KI105" s="4"/>
      <c r="KJ105" s="4"/>
      <c r="KK105" s="4"/>
      <c r="KL105" s="4">
        <v>12504</v>
      </c>
      <c r="KM105" s="4"/>
      <c r="KN105" s="4">
        <v>14213</v>
      </c>
      <c r="KO105" s="4"/>
      <c r="KP105" s="4">
        <v>11820</v>
      </c>
      <c r="KQ105" s="4">
        <v>14663</v>
      </c>
      <c r="KR105" s="4"/>
      <c r="KS105" s="4"/>
      <c r="KT105" s="4"/>
      <c r="KU105" s="4"/>
      <c r="KV105" s="4">
        <v>14585</v>
      </c>
      <c r="KW105" s="4"/>
      <c r="KX105" s="18"/>
      <c r="KY105" s="4"/>
      <c r="KZ105" s="77">
        <f t="shared" si="80"/>
        <v>1.8215604535953261E-2</v>
      </c>
      <c r="LA105" s="8">
        <f t="shared" si="97"/>
        <v>513423</v>
      </c>
      <c r="LB105" s="2"/>
      <c r="LC105" s="43"/>
      <c r="LD105" s="1">
        <v>3462</v>
      </c>
      <c r="LE105" s="1">
        <v>8915</v>
      </c>
      <c r="LF105" s="1">
        <v>9128</v>
      </c>
      <c r="LG105" s="1">
        <v>15934</v>
      </c>
      <c r="LI105" s="1">
        <v>5878</v>
      </c>
      <c r="LJ105" s="1">
        <v>6833</v>
      </c>
      <c r="LL105" s="1">
        <v>14904</v>
      </c>
      <c r="LM105" s="1">
        <v>12541</v>
      </c>
      <c r="LR105" s="1">
        <v>2780</v>
      </c>
      <c r="LT105" s="1">
        <v>10082</v>
      </c>
      <c r="LY105" s="1">
        <v>6888</v>
      </c>
      <c r="LZ105" s="1">
        <v>2769</v>
      </c>
      <c r="MD105" s="1">
        <v>15084</v>
      </c>
      <c r="ME105" s="1">
        <v>9788</v>
      </c>
      <c r="MF105" s="1">
        <v>6082</v>
      </c>
      <c r="MI105" s="1">
        <v>18226</v>
      </c>
      <c r="ML105" s="1">
        <v>6655</v>
      </c>
      <c r="MM105" s="1">
        <v>8094</v>
      </c>
      <c r="MN105" s="1">
        <v>9015</v>
      </c>
      <c r="MQ105" s="1">
        <v>7541</v>
      </c>
      <c r="MT105" s="1">
        <v>14388</v>
      </c>
      <c r="MU105" s="1">
        <v>9714</v>
      </c>
      <c r="MV105" s="1">
        <v>19408</v>
      </c>
      <c r="MX105" s="1">
        <v>14858</v>
      </c>
      <c r="NC105" s="1">
        <v>15928</v>
      </c>
      <c r="ND105" s="1">
        <v>9445</v>
      </c>
      <c r="NF105" s="1">
        <v>13489</v>
      </c>
      <c r="NG105" s="1">
        <v>13632</v>
      </c>
      <c r="NH105" s="1">
        <v>4585</v>
      </c>
      <c r="NM105" s="1">
        <v>5910</v>
      </c>
      <c r="NN105" s="1">
        <v>10474</v>
      </c>
      <c r="NO105" s="77"/>
      <c r="NP105" s="63"/>
      <c r="NQ105"/>
      <c r="NR105" s="77">
        <f t="shared" si="81"/>
        <v>1.2916361372817283E-2</v>
      </c>
      <c r="NS105" s="8">
        <f t="shared" si="84"/>
        <v>312430</v>
      </c>
      <c r="NT105" s="2"/>
      <c r="NU105" s="7"/>
      <c r="NV105" s="4">
        <v>1003</v>
      </c>
      <c r="NW105" s="4"/>
      <c r="NX105" s="4"/>
      <c r="NY105" s="4"/>
      <c r="NZ105" s="4"/>
      <c r="OA105" s="4">
        <v>12515</v>
      </c>
      <c r="OB105" s="4">
        <v>12269</v>
      </c>
      <c r="OC105" s="4"/>
      <c r="OD105" s="4"/>
      <c r="OE105" s="77">
        <f t="shared" si="82"/>
        <v>1.0700007838833582E-2</v>
      </c>
      <c r="OF105" s="8">
        <f t="shared" si="71"/>
        <v>25787</v>
      </c>
      <c r="OG105" s="2"/>
      <c r="OI105" s="1">
        <v>218</v>
      </c>
      <c r="OJ105" s="40"/>
      <c r="OK105" s="40"/>
      <c r="OL105" s="40"/>
      <c r="OM105" s="40"/>
      <c r="ON105" s="40"/>
      <c r="OO105" s="40">
        <v>14723</v>
      </c>
      <c r="OQ105" s="40"/>
      <c r="OR105" s="77">
        <f t="shared" si="83"/>
        <v>2.4408639012684266E-2</v>
      </c>
      <c r="OS105" s="8">
        <f t="shared" si="85"/>
        <v>14941</v>
      </c>
      <c r="OT105" s="37"/>
      <c r="OU105" s="152">
        <f t="shared" si="65"/>
        <v>852984.05</v>
      </c>
      <c r="OV105" s="176">
        <f t="shared" si="73"/>
        <v>1.4135692314917543E-3</v>
      </c>
      <c r="OW105" s="139">
        <f>IF(A105="","",SUM(Z$17:Z105))</f>
        <v>20000</v>
      </c>
      <c r="OX105" s="139">
        <f t="shared" si="87"/>
        <v>883830.05</v>
      </c>
      <c r="OY105" s="132">
        <f t="shared" si="88"/>
        <v>0.23857017134513012</v>
      </c>
      <c r="OZ105" s="177">
        <f t="shared" si="66"/>
        <v>1019676</v>
      </c>
      <c r="PA105" s="146">
        <f t="shared" si="77"/>
        <v>5.9011891162421793E-3</v>
      </c>
      <c r="PB105" s="130">
        <f>IF(A105="","",SUM(HB$17:HB105)+SUM(KY$17:KY105))</f>
        <v>115756.47</v>
      </c>
      <c r="PC105" s="131">
        <f t="shared" si="89"/>
        <v>797215.47</v>
      </c>
      <c r="PD105" s="132">
        <f t="shared" si="90"/>
        <v>0.20694946867699887</v>
      </c>
      <c r="PE105" s="133">
        <f t="shared" si="67"/>
        <v>681459</v>
      </c>
      <c r="PF105" s="146">
        <f t="shared" si="69"/>
        <v>2.5377574168718941E-3</v>
      </c>
      <c r="PG105" s="133">
        <f t="shared" si="68"/>
        <v>1191201.05</v>
      </c>
      <c r="PH105" s="146" t="str">
        <f t="shared" si="70"/>
        <v/>
      </c>
      <c r="PI105" s="178">
        <f t="shared" si="91"/>
        <v>1872660.05</v>
      </c>
      <c r="PJ105" s="179">
        <f t="shared" si="74"/>
        <v>3.8521308793368586E-3</v>
      </c>
      <c r="PK105" s="180">
        <f t="shared" si="72"/>
        <v>0.15301071700362284</v>
      </c>
      <c r="PL105" s="137">
        <f t="shared" si="92"/>
        <v>135756.47</v>
      </c>
      <c r="PM105" s="9">
        <f t="shared" si="93"/>
        <v>1681045.52</v>
      </c>
      <c r="PN105" s="138">
        <f t="shared" si="94"/>
        <v>0.22337041430453167</v>
      </c>
      <c r="PO105" s="86">
        <f>IF(PI105="","",MAX(PI$15:PI105))</f>
        <v>1940884.25</v>
      </c>
      <c r="PP105" s="113">
        <f t="shared" si="75"/>
        <v>-3.6431705797322876E-2</v>
      </c>
      <c r="PQ105" s="41"/>
      <c r="PR105" s="302"/>
    </row>
    <row r="106" spans="1:434" s="1" customFormat="1" ht="15" customHeight="1" x14ac:dyDescent="0.45">
      <c r="A106" s="18">
        <v>45511</v>
      </c>
      <c r="B106" s="3"/>
      <c r="C106" s="4">
        <v>49106</v>
      </c>
      <c r="D106" s="10"/>
      <c r="E106" s="4">
        <v>23759</v>
      </c>
      <c r="F106" s="10"/>
      <c r="G106" s="4"/>
      <c r="H106" s="4"/>
      <c r="I106" s="4">
        <v>29839</v>
      </c>
      <c r="J106" s="4">
        <v>10186</v>
      </c>
      <c r="K106" s="4">
        <v>16337</v>
      </c>
      <c r="L106" s="4">
        <v>14024</v>
      </c>
      <c r="M106" s="4">
        <v>15984</v>
      </c>
      <c r="N106" s="4"/>
      <c r="O106" s="10"/>
      <c r="P106" s="4"/>
      <c r="Q106" s="4">
        <v>6216</v>
      </c>
      <c r="R106" s="4"/>
      <c r="S106" s="4">
        <v>14304</v>
      </c>
      <c r="T106" s="4">
        <v>14747</v>
      </c>
      <c r="U106" s="10"/>
      <c r="V106" s="4">
        <v>31231</v>
      </c>
      <c r="W106" s="4">
        <v>31436</v>
      </c>
      <c r="X106" s="4"/>
      <c r="Y106" s="4" t="str">
        <f t="shared" si="64"/>
        <v/>
      </c>
      <c r="Z106" s="4"/>
      <c r="AA106" s="77">
        <f t="shared" si="78"/>
        <v>-3.1057374949135682E-2</v>
      </c>
      <c r="AB106" s="8">
        <f t="shared" si="95"/>
        <v>257169</v>
      </c>
      <c r="AC106" s="2"/>
      <c r="AD106" s="3"/>
      <c r="AE106" s="4">
        <v>2261</v>
      </c>
      <c r="AF106" s="4">
        <f>29959+24874</f>
        <v>54833</v>
      </c>
      <c r="AG106" s="4"/>
      <c r="AH106" s="4">
        <v>20723</v>
      </c>
      <c r="AI106" s="1">
        <v>10214</v>
      </c>
      <c r="AJ106" s="4">
        <v>17812</v>
      </c>
      <c r="AK106" s="4">
        <v>16178</v>
      </c>
      <c r="AL106" s="4">
        <v>21837</v>
      </c>
      <c r="AM106" s="4"/>
      <c r="AN106" s="1">
        <v>6054</v>
      </c>
      <c r="AO106" s="4"/>
      <c r="AP106" s="10"/>
      <c r="AQ106" s="4"/>
      <c r="AR106" s="4">
        <v>7162</v>
      </c>
      <c r="AS106" s="4"/>
      <c r="AT106" s="4">
        <v>106135</v>
      </c>
      <c r="AU106" s="4"/>
      <c r="AV106" s="1">
        <v>2814</v>
      </c>
      <c r="AW106" s="4"/>
      <c r="AX106" s="4"/>
      <c r="AY106" s="4"/>
      <c r="AZ106" s="4"/>
      <c r="BA106" s="4"/>
      <c r="BB106" s="4"/>
      <c r="BC106" s="4"/>
      <c r="BD106" s="4"/>
      <c r="BE106" s="4">
        <v>18995</v>
      </c>
      <c r="BF106" s="4">
        <v>11756</v>
      </c>
      <c r="BG106" s="1">
        <v>6690</v>
      </c>
      <c r="BH106" s="4"/>
      <c r="BI106" s="4"/>
      <c r="BJ106" s="4">
        <v>15926</v>
      </c>
      <c r="BK106" s="4"/>
      <c r="BL106" s="4"/>
      <c r="BM106" s="4">
        <v>14473</v>
      </c>
      <c r="BN106" s="4">
        <v>8168</v>
      </c>
      <c r="BO106" s="4"/>
      <c r="BP106" s="4"/>
      <c r="BQ106" s="4"/>
      <c r="BR106" s="1">
        <v>10548</v>
      </c>
      <c r="BS106" s="10"/>
      <c r="BT106" s="4"/>
      <c r="BU106" s="4"/>
      <c r="BV106" s="4"/>
      <c r="BW106" s="4"/>
      <c r="BX106" s="1">
        <v>8626</v>
      </c>
      <c r="BY106" s="1">
        <v>9245</v>
      </c>
      <c r="BZ106" s="1">
        <v>8313</v>
      </c>
      <c r="CA106" s="4"/>
      <c r="CB106" s="4"/>
      <c r="CC106" s="4"/>
      <c r="CD106" s="4"/>
      <c r="CE106" s="4"/>
      <c r="CF106" s="4">
        <v>72478</v>
      </c>
      <c r="CG106" s="4">
        <v>12001</v>
      </c>
      <c r="CH106" s="4">
        <v>28418</v>
      </c>
      <c r="CI106" s="4"/>
      <c r="CJ106" s="10"/>
      <c r="CK106" s="4"/>
      <c r="CL106" s="10"/>
      <c r="CM106" s="1">
        <v>13112</v>
      </c>
      <c r="CN106" s="4"/>
      <c r="CO106" s="10"/>
      <c r="CP106" s="4"/>
      <c r="CQ106" s="4">
        <v>13562</v>
      </c>
      <c r="CR106" s="10"/>
      <c r="CS106" s="4">
        <v>14229</v>
      </c>
      <c r="CT106" s="4"/>
      <c r="CU106" s="4">
        <v>12160</v>
      </c>
      <c r="CV106" s="4">
        <v>14220</v>
      </c>
      <c r="CW106" s="4"/>
      <c r="CX106" s="4"/>
      <c r="CY106" s="77">
        <f t="shared" si="76"/>
        <v>-2.3903785867008163E-2</v>
      </c>
      <c r="CZ106" s="8">
        <f t="shared" si="96"/>
        <v>558943</v>
      </c>
      <c r="DA106" s="2"/>
      <c r="DD106" s="1">
        <v>16442</v>
      </c>
      <c r="DE106" s="1">
        <v>15408</v>
      </c>
      <c r="DF106" s="1">
        <v>12929</v>
      </c>
      <c r="DG106" s="1">
        <v>11533</v>
      </c>
      <c r="DH106" s="4">
        <v>29209</v>
      </c>
      <c r="DJ106" s="4"/>
      <c r="DK106" s="1">
        <v>2780</v>
      </c>
      <c r="DL106" s="1">
        <v>15168</v>
      </c>
      <c r="DM106" s="1">
        <v>18900</v>
      </c>
      <c r="DN106" s="1">
        <v>14586</v>
      </c>
      <c r="DO106" s="1">
        <v>10338</v>
      </c>
      <c r="DP106" s="1">
        <v>20028</v>
      </c>
      <c r="DQ106" s="1">
        <v>14985</v>
      </c>
      <c r="DR106" s="1">
        <v>16350</v>
      </c>
      <c r="DS106" s="1">
        <v>9755</v>
      </c>
      <c r="DU106" s="1">
        <v>13696</v>
      </c>
      <c r="DX106" s="2"/>
      <c r="DY106" s="32"/>
      <c r="DZ106" s="4">
        <v>1155</v>
      </c>
      <c r="EA106" s="32"/>
      <c r="EB106" s="32"/>
      <c r="EC106" s="32"/>
      <c r="ED106" s="32"/>
      <c r="EE106" s="4">
        <v>12850</v>
      </c>
      <c r="EF106" s="4">
        <v>12461</v>
      </c>
      <c r="EG106" s="32"/>
      <c r="EH106" s="32"/>
      <c r="EI106" s="32"/>
      <c r="EJ106" s="32"/>
      <c r="EK106" s="5"/>
      <c r="EO106" s="2"/>
      <c r="EQ106" s="468" t="s">
        <v>1</v>
      </c>
      <c r="ER106"/>
      <c r="ES106" s="6"/>
      <c r="ET106" s="10"/>
      <c r="EU106" s="10"/>
      <c r="EV106" s="10"/>
      <c r="EW106" s="10"/>
      <c r="EX106" s="4">
        <v>8288</v>
      </c>
      <c r="EY106" s="4"/>
      <c r="EZ106" s="4"/>
      <c r="FA106" s="4"/>
      <c r="FB106" s="4"/>
      <c r="FC106" s="4"/>
      <c r="FD106" s="4"/>
      <c r="FE106" s="4"/>
      <c r="FF106" s="4"/>
      <c r="FG106" s="4"/>
      <c r="FH106" s="10"/>
      <c r="FI106" s="10"/>
      <c r="FJ106" s="10"/>
      <c r="FK106" s="10"/>
      <c r="FL106" s="10"/>
      <c r="FM106" s="10"/>
      <c r="FN106" s="4"/>
      <c r="FO106" s="4"/>
      <c r="FP106" s="10"/>
      <c r="FQ106" s="4"/>
      <c r="FR106" s="4"/>
      <c r="FS106" s="10"/>
      <c r="FT106" s="4">
        <v>29839</v>
      </c>
      <c r="FU106" s="4">
        <v>10186</v>
      </c>
      <c r="FV106" s="4"/>
      <c r="FW106" s="4">
        <v>16337</v>
      </c>
      <c r="FX106" s="4"/>
      <c r="FY106" s="4">
        <v>14024</v>
      </c>
      <c r="FZ106" s="10"/>
      <c r="GA106" s="10"/>
      <c r="GB106" s="10"/>
      <c r="GC106" s="10"/>
      <c r="GD106" s="4">
        <v>15984</v>
      </c>
      <c r="GE106" s="4"/>
      <c r="GF106" s="4"/>
      <c r="GG106" s="4"/>
      <c r="GH106" s="4"/>
      <c r="GI106" s="4">
        <v>15969</v>
      </c>
      <c r="GJ106" s="4"/>
      <c r="GK106" s="4"/>
      <c r="GL106" s="4"/>
      <c r="GM106" s="4"/>
      <c r="GN106" s="10"/>
      <c r="GO106" s="10"/>
      <c r="GP106" s="4">
        <v>6216</v>
      </c>
      <c r="GQ106" s="10"/>
      <c r="GR106" s="4">
        <v>10735</v>
      </c>
      <c r="GS106" s="10"/>
      <c r="GT106" s="4">
        <v>14304</v>
      </c>
      <c r="GU106" s="10"/>
      <c r="GV106" s="4">
        <v>14747</v>
      </c>
      <c r="GW106" s="10"/>
      <c r="GX106" s="10"/>
      <c r="GY106" s="10"/>
      <c r="GZ106" s="10"/>
      <c r="HA106" s="18"/>
      <c r="HB106" s="4"/>
      <c r="HC106" s="77">
        <f t="shared" si="79"/>
        <v>-6.7884262896046085E-2</v>
      </c>
      <c r="HD106" s="8">
        <f t="shared" si="86"/>
        <v>156629</v>
      </c>
      <c r="HE106" s="2"/>
      <c r="HF106" s="3"/>
      <c r="HG106" s="4">
        <v>36297</v>
      </c>
      <c r="HH106" s="4">
        <v>20723</v>
      </c>
      <c r="HI106" s="4"/>
      <c r="HJ106" s="4">
        <v>17812</v>
      </c>
      <c r="HK106" s="4"/>
      <c r="HL106" s="4"/>
      <c r="HM106" s="4">
        <v>16178</v>
      </c>
      <c r="HN106" s="4">
        <v>21837</v>
      </c>
      <c r="HO106" s="4"/>
      <c r="HP106" s="4"/>
      <c r="HQ106" s="4"/>
      <c r="HR106" s="4">
        <v>12438</v>
      </c>
      <c r="HS106" s="4"/>
      <c r="HT106" s="10"/>
      <c r="HU106" s="10"/>
      <c r="HV106" s="4">
        <v>12253</v>
      </c>
      <c r="HW106" s="4"/>
      <c r="HX106" s="4"/>
      <c r="HY106" s="4">
        <v>13657</v>
      </c>
      <c r="HZ106" s="4"/>
      <c r="IA106" s="4"/>
      <c r="IB106" s="4">
        <v>7162</v>
      </c>
      <c r="IC106" s="4"/>
      <c r="ID106" s="10"/>
      <c r="IE106" s="4">
        <v>21860</v>
      </c>
      <c r="IF106" s="10"/>
      <c r="IG106" s="4">
        <v>18341</v>
      </c>
      <c r="IH106" s="4"/>
      <c r="II106" s="4"/>
      <c r="IJ106" s="4"/>
      <c r="IK106" s="4"/>
      <c r="IL106" s="4">
        <v>16310</v>
      </c>
      <c r="IM106" s="4">
        <v>18995</v>
      </c>
      <c r="IN106" s="4">
        <v>11756</v>
      </c>
      <c r="IO106" s="4"/>
      <c r="IP106" s="4">
        <v>15926</v>
      </c>
      <c r="IQ106" s="4">
        <v>8946</v>
      </c>
      <c r="IR106" s="4">
        <v>14473</v>
      </c>
      <c r="IS106" s="4">
        <v>8168</v>
      </c>
      <c r="IT106" s="10"/>
      <c r="IU106" s="4"/>
      <c r="IV106" s="4"/>
      <c r="IW106" s="4"/>
      <c r="IX106" s="10"/>
      <c r="IY106" s="4"/>
      <c r="IZ106" s="4">
        <v>23818</v>
      </c>
      <c r="JA106" s="4">
        <v>20328</v>
      </c>
      <c r="JB106" s="4"/>
      <c r="JC106" s="4"/>
      <c r="JD106" s="4"/>
      <c r="JE106" s="4"/>
      <c r="JF106" s="10"/>
      <c r="JG106" s="10"/>
      <c r="JH106" s="10"/>
      <c r="JI106" s="4"/>
      <c r="JJ106" s="4"/>
      <c r="JK106" s="4"/>
      <c r="JL106" s="4"/>
      <c r="JM106" s="4">
        <v>13380</v>
      </c>
      <c r="JN106" s="10"/>
      <c r="JO106" s="10"/>
      <c r="JP106" s="4"/>
      <c r="JQ106" s="4"/>
      <c r="JR106" s="4"/>
      <c r="JS106" s="4">
        <v>16627</v>
      </c>
      <c r="JT106" s="4"/>
      <c r="JU106" s="10"/>
      <c r="JV106" s="4"/>
      <c r="JW106" s="4">
        <v>12001</v>
      </c>
      <c r="JX106" s="4">
        <v>28418</v>
      </c>
      <c r="JY106" s="4"/>
      <c r="JZ106" s="4"/>
      <c r="KA106" s="4"/>
      <c r="KB106" s="4"/>
      <c r="KC106" s="4">
        <v>21952</v>
      </c>
      <c r="KD106" s="10"/>
      <c r="KE106" s="10"/>
      <c r="KF106" s="10"/>
      <c r="KG106" s="4">
        <v>16688</v>
      </c>
      <c r="KH106" s="10"/>
      <c r="KI106" s="10"/>
      <c r="KJ106" s="10"/>
      <c r="KK106" s="10"/>
      <c r="KL106" s="4">
        <v>13562</v>
      </c>
      <c r="KM106" s="10"/>
      <c r="KN106" s="4">
        <v>14229</v>
      </c>
      <c r="KO106" s="4"/>
      <c r="KP106" s="4">
        <v>12160</v>
      </c>
      <c r="KQ106" s="4">
        <v>14220</v>
      </c>
      <c r="KR106" s="10"/>
      <c r="KS106" s="4"/>
      <c r="KT106" s="4"/>
      <c r="KU106" s="4"/>
      <c r="KV106" s="4">
        <v>13958</v>
      </c>
      <c r="KW106" s="4"/>
      <c r="KX106" s="18"/>
      <c r="KY106" s="4"/>
      <c r="KZ106" s="77">
        <f t="shared" si="80"/>
        <v>2.045097317416633E-3</v>
      </c>
      <c r="LA106" s="8">
        <f t="shared" si="97"/>
        <v>514473</v>
      </c>
      <c r="LB106" s="2"/>
      <c r="LC106" s="43"/>
      <c r="LD106" s="1">
        <v>3357</v>
      </c>
      <c r="LE106" s="1">
        <v>8949</v>
      </c>
      <c r="LF106" s="1">
        <v>10214</v>
      </c>
      <c r="LG106" s="1">
        <v>16442</v>
      </c>
      <c r="LI106" s="1">
        <v>6054</v>
      </c>
      <c r="LJ106" s="1">
        <v>6876</v>
      </c>
      <c r="LL106" s="1">
        <v>15408</v>
      </c>
      <c r="LM106" s="1">
        <v>12929</v>
      </c>
      <c r="LR106" s="1">
        <v>2814</v>
      </c>
      <c r="LT106" s="1">
        <v>11533</v>
      </c>
      <c r="LY106" s="1">
        <v>6690</v>
      </c>
      <c r="LZ106" s="1">
        <v>2780</v>
      </c>
      <c r="MD106" s="1">
        <v>15168</v>
      </c>
      <c r="ME106" s="1">
        <v>10548</v>
      </c>
      <c r="MF106" s="1">
        <v>6776</v>
      </c>
      <c r="MI106" s="1">
        <v>18900</v>
      </c>
      <c r="ML106" s="1">
        <v>6672</v>
      </c>
      <c r="MM106" s="1">
        <v>8626</v>
      </c>
      <c r="MN106" s="1">
        <v>9245</v>
      </c>
      <c r="MO106" s="172"/>
      <c r="MQ106" s="1">
        <v>8313</v>
      </c>
      <c r="MT106" s="1">
        <v>14586</v>
      </c>
      <c r="MU106" s="1">
        <v>10338</v>
      </c>
      <c r="MV106" s="1">
        <v>20028</v>
      </c>
      <c r="MX106" s="1">
        <v>14985</v>
      </c>
      <c r="NC106" s="1">
        <v>16350</v>
      </c>
      <c r="ND106" s="1">
        <v>9755</v>
      </c>
      <c r="NF106" s="1">
        <v>13696</v>
      </c>
      <c r="NG106" s="1">
        <v>13112</v>
      </c>
      <c r="NH106" s="1">
        <v>4973</v>
      </c>
      <c r="NM106" s="1">
        <v>6080</v>
      </c>
      <c r="NN106" s="1">
        <v>10157</v>
      </c>
      <c r="NO106" s="77"/>
      <c r="NP106" s="63"/>
      <c r="NQ106"/>
      <c r="NR106" s="77">
        <f t="shared" si="81"/>
        <v>3.1763915116986202E-2</v>
      </c>
      <c r="NS106" s="8">
        <f t="shared" si="84"/>
        <v>322354</v>
      </c>
      <c r="NT106" s="2"/>
      <c r="NU106" s="7"/>
      <c r="NV106" s="4">
        <v>1155</v>
      </c>
      <c r="NW106" s="4"/>
      <c r="NX106" s="4"/>
      <c r="NY106" s="4"/>
      <c r="NZ106" s="4"/>
      <c r="OA106" s="4">
        <v>12850</v>
      </c>
      <c r="OB106" s="4">
        <v>12461</v>
      </c>
      <c r="OC106" s="4"/>
      <c r="OD106" s="4"/>
      <c r="OE106" s="77">
        <f t="shared" si="82"/>
        <v>2.63310970644123E-2</v>
      </c>
      <c r="OF106" s="8">
        <f t="shared" si="71"/>
        <v>26466</v>
      </c>
      <c r="OG106" s="2"/>
      <c r="OI106" s="1">
        <v>219</v>
      </c>
      <c r="OJ106" s="40"/>
      <c r="OK106" s="40"/>
      <c r="OL106" s="40"/>
      <c r="OM106" s="40"/>
      <c r="ON106" s="40"/>
      <c r="OO106" s="40">
        <v>15725</v>
      </c>
      <c r="OQ106" s="40"/>
      <c r="OR106" s="77">
        <f t="shared" si="83"/>
        <v>6.7130714142293019E-2</v>
      </c>
      <c r="OS106" s="8">
        <f t="shared" si="85"/>
        <v>15944</v>
      </c>
      <c r="OT106" s="37"/>
      <c r="OU106" s="126">
        <f t="shared" si="65"/>
        <v>832056</v>
      </c>
      <c r="OV106" s="71">
        <f t="shared" si="73"/>
        <v>-2.4535101213205623E-2</v>
      </c>
      <c r="OW106" s="139">
        <f>IF(A106="","",SUM(Z$17:Z106))</f>
        <v>20000</v>
      </c>
      <c r="OX106" s="139">
        <f t="shared" si="87"/>
        <v>862578</v>
      </c>
      <c r="OY106" s="132">
        <f t="shared" si="88"/>
        <v>0.20878825206106036</v>
      </c>
      <c r="OZ106" s="140">
        <f t="shared" si="66"/>
        <v>1019922</v>
      </c>
      <c r="PA106" s="84">
        <f t="shared" si="77"/>
        <v>2.4125310392712979E-4</v>
      </c>
      <c r="PB106" s="130">
        <f>IF(A106="","",SUM(HB$17:HB106)+SUM(KY$17:KY106))</f>
        <v>115756.47</v>
      </c>
      <c r="PC106" s="131">
        <f t="shared" si="89"/>
        <v>786858.47</v>
      </c>
      <c r="PD106" s="132">
        <f t="shared" si="90"/>
        <v>0.19126942216825804</v>
      </c>
      <c r="PE106" s="133">
        <f t="shared" si="67"/>
        <v>671102</v>
      </c>
      <c r="PF106" s="84">
        <f t="shared" si="69"/>
        <v>-1.5198273116944673E-2</v>
      </c>
      <c r="PG106" s="133">
        <f t="shared" si="68"/>
        <v>1180876</v>
      </c>
      <c r="PH106" s="84" t="str">
        <f t="shared" si="70"/>
        <v/>
      </c>
      <c r="PI106" s="135">
        <f t="shared" si="91"/>
        <v>1851978</v>
      </c>
      <c r="PJ106" s="136">
        <f t="shared" si="74"/>
        <v>-1.1044209545667429E-2</v>
      </c>
      <c r="PK106" s="123">
        <f t="shared" si="72"/>
        <v>8.5713146723680966E-2</v>
      </c>
      <c r="PL106" s="137">
        <f t="shared" si="92"/>
        <v>135756.47</v>
      </c>
      <c r="PM106" s="9">
        <f t="shared" si="93"/>
        <v>1649436.47</v>
      </c>
      <c r="PN106" s="138">
        <f t="shared" si="94"/>
        <v>0.20036712490266426</v>
      </c>
      <c r="PO106" s="86">
        <f>IF(PI106="","",MAX(PI$15:PI106))</f>
        <v>1940884.25</v>
      </c>
      <c r="PP106" s="113">
        <f t="shared" si="75"/>
        <v>-4.8006104824139383E-2</v>
      </c>
      <c r="PQ106" s="41"/>
      <c r="PR106" s="302"/>
    </row>
    <row r="107" spans="1:434" s="1" customFormat="1" ht="15" customHeight="1" x14ac:dyDescent="0.45">
      <c r="A107" s="18">
        <v>45585</v>
      </c>
      <c r="B107" s="3"/>
      <c r="C107" s="4">
        <v>81873</v>
      </c>
      <c r="D107" s="10"/>
      <c r="E107" s="4">
        <v>23142</v>
      </c>
      <c r="F107" s="10"/>
      <c r="G107" s="4"/>
      <c r="H107" s="4"/>
      <c r="I107" s="4">
        <v>30548</v>
      </c>
      <c r="J107" s="4">
        <v>11464</v>
      </c>
      <c r="K107" s="4">
        <v>17723</v>
      </c>
      <c r="L107" s="4">
        <v>15776</v>
      </c>
      <c r="M107" s="4">
        <v>12545</v>
      </c>
      <c r="N107" s="4"/>
      <c r="O107" s="10"/>
      <c r="P107" s="4"/>
      <c r="Q107" s="4">
        <v>8031</v>
      </c>
      <c r="R107" s="4"/>
      <c r="S107" s="4">
        <v>15549</v>
      </c>
      <c r="T107" s="4">
        <v>11150</v>
      </c>
      <c r="U107" s="10"/>
      <c r="V107" s="4"/>
      <c r="W107" s="4">
        <v>31555</v>
      </c>
      <c r="X107" s="4"/>
      <c r="Y107" s="4" t="str">
        <f t="shared" si="64"/>
        <v/>
      </c>
      <c r="Z107" s="4"/>
      <c r="AA107" s="77">
        <f t="shared" si="78"/>
        <v>8.5041354128996879E-3</v>
      </c>
      <c r="AB107" s="8">
        <f t="shared" si="95"/>
        <v>259356</v>
      </c>
      <c r="AC107" s="2"/>
      <c r="AD107" s="3"/>
      <c r="AE107" s="4">
        <v>93</v>
      </c>
      <c r="AF107" s="4">
        <v>24985</v>
      </c>
      <c r="AG107" s="4"/>
      <c r="AH107" s="4">
        <v>21150</v>
      </c>
      <c r="AI107" s="1">
        <v>10387</v>
      </c>
      <c r="AJ107" s="4">
        <v>23624</v>
      </c>
      <c r="AK107" s="4">
        <v>19375</v>
      </c>
      <c r="AL107" s="4">
        <v>22274</v>
      </c>
      <c r="AM107" s="4"/>
      <c r="AN107" s="1">
        <v>6284</v>
      </c>
      <c r="AO107" s="4"/>
      <c r="AP107" s="10"/>
      <c r="AQ107" s="4"/>
      <c r="AR107" s="4">
        <v>7538</v>
      </c>
      <c r="AS107" s="4"/>
      <c r="AT107" s="4">
        <v>155530</v>
      </c>
      <c r="AU107" s="4"/>
      <c r="AV107" s="1">
        <v>3042</v>
      </c>
      <c r="AW107" s="4"/>
      <c r="AX107" s="4"/>
      <c r="AY107" s="4"/>
      <c r="AZ107" s="4"/>
      <c r="BA107" s="4"/>
      <c r="BB107" s="4"/>
      <c r="BC107" s="4"/>
      <c r="BD107" s="4"/>
      <c r="BE107" s="4">
        <v>19610</v>
      </c>
      <c r="BF107" s="4">
        <v>13213</v>
      </c>
      <c r="BG107" s="1">
        <v>7080</v>
      </c>
      <c r="BH107" s="4"/>
      <c r="BI107" s="4"/>
      <c r="BJ107" s="4">
        <v>18675</v>
      </c>
      <c r="BK107" s="4"/>
      <c r="BL107" s="4"/>
      <c r="BM107" s="4">
        <v>15978</v>
      </c>
      <c r="BN107" s="4">
        <v>8861</v>
      </c>
      <c r="BO107" s="4"/>
      <c r="BP107" s="4"/>
      <c r="BQ107" s="4"/>
      <c r="BR107" s="1">
        <v>10918</v>
      </c>
      <c r="BS107" s="10"/>
      <c r="BT107" s="4"/>
      <c r="BU107" s="4"/>
      <c r="BV107" s="4"/>
      <c r="BW107" s="4"/>
      <c r="BX107" s="1">
        <v>9874</v>
      </c>
      <c r="BY107" s="1">
        <v>7708</v>
      </c>
      <c r="BZ107" s="1">
        <v>7349</v>
      </c>
      <c r="CA107" s="4"/>
      <c r="CB107" s="4"/>
      <c r="CC107" s="4"/>
      <c r="CD107" s="4"/>
      <c r="CE107" s="4"/>
      <c r="CF107" s="4"/>
      <c r="CG107" s="4">
        <v>15832</v>
      </c>
      <c r="CH107" s="4">
        <v>25632</v>
      </c>
      <c r="CI107" s="4">
        <v>9579</v>
      </c>
      <c r="CJ107" s="10"/>
      <c r="CK107" s="4"/>
      <c r="CL107" s="10"/>
      <c r="CM107" s="1">
        <v>15549</v>
      </c>
      <c r="CN107" s="4"/>
      <c r="CO107" s="10"/>
      <c r="CP107" s="4"/>
      <c r="CQ107" s="4"/>
      <c r="CR107" s="10"/>
      <c r="CS107" s="4">
        <v>9660</v>
      </c>
      <c r="CT107" s="4"/>
      <c r="CU107" s="4">
        <v>13761</v>
      </c>
      <c r="CV107" s="4">
        <v>14893</v>
      </c>
      <c r="CW107" s="4"/>
      <c r="CX107" s="4"/>
      <c r="CY107" s="77">
        <f t="shared" si="76"/>
        <v>-7.2438513408343966E-2</v>
      </c>
      <c r="CZ107" s="8">
        <f t="shared" si="96"/>
        <v>518454</v>
      </c>
      <c r="DA107" s="2"/>
      <c r="DD107" s="1">
        <v>16421</v>
      </c>
      <c r="DE107" s="1">
        <v>15392</v>
      </c>
      <c r="DF107" s="1">
        <v>12922</v>
      </c>
      <c r="DG107" s="1">
        <v>11535</v>
      </c>
      <c r="DH107" s="4">
        <v>74780</v>
      </c>
      <c r="DJ107" s="4">
        <v>78316</v>
      </c>
      <c r="DK107" s="1">
        <v>6074</v>
      </c>
      <c r="DL107" s="1">
        <v>15174</v>
      </c>
      <c r="DM107" s="1">
        <v>18826</v>
      </c>
      <c r="DN107" s="1">
        <v>14592</v>
      </c>
      <c r="DO107" s="1">
        <v>10083</v>
      </c>
      <c r="DP107" s="1">
        <v>19912</v>
      </c>
      <c r="DQ107" s="1">
        <v>15156</v>
      </c>
      <c r="DR107" s="1">
        <v>16506</v>
      </c>
      <c r="DS107" s="1">
        <v>9869</v>
      </c>
      <c r="DU107" s="1">
        <v>13795</v>
      </c>
      <c r="DX107" s="2"/>
      <c r="DY107" s="32"/>
      <c r="DZ107" s="4">
        <v>1311</v>
      </c>
      <c r="EA107" s="32"/>
      <c r="EB107" s="32"/>
      <c r="EC107" s="32"/>
      <c r="ED107" s="32"/>
      <c r="EE107" s="4">
        <v>12973</v>
      </c>
      <c r="EF107" s="4">
        <v>12545</v>
      </c>
      <c r="EG107" s="32"/>
      <c r="EH107" s="32"/>
      <c r="EI107" s="32"/>
      <c r="EJ107" s="32"/>
      <c r="EK107" s="5"/>
      <c r="EO107" s="2"/>
      <c r="EQ107" s="468" t="s">
        <v>1</v>
      </c>
      <c r="ER107"/>
      <c r="ES107" s="6"/>
      <c r="ET107" s="10"/>
      <c r="EU107" s="10"/>
      <c r="EV107" s="10"/>
      <c r="EW107" s="10"/>
      <c r="EX107" s="4">
        <v>6817</v>
      </c>
      <c r="EY107" s="4"/>
      <c r="EZ107" s="4"/>
      <c r="FA107" s="4"/>
      <c r="FB107" s="4"/>
      <c r="FC107" s="4"/>
      <c r="FD107" s="4"/>
      <c r="FE107" s="4"/>
      <c r="FF107" s="4"/>
      <c r="FG107" s="4"/>
      <c r="FH107" s="10"/>
      <c r="FI107" s="10"/>
      <c r="FJ107" s="10"/>
      <c r="FK107" s="10"/>
      <c r="FL107" s="10"/>
      <c r="FM107" s="10"/>
      <c r="FN107" s="4"/>
      <c r="FO107" s="4"/>
      <c r="FP107" s="10"/>
      <c r="FQ107" s="4"/>
      <c r="FR107" s="4"/>
      <c r="FS107" s="10"/>
      <c r="FT107" s="4">
        <v>30548</v>
      </c>
      <c r="FU107" s="4">
        <v>11464</v>
      </c>
      <c r="FV107" s="4"/>
      <c r="FW107" s="4">
        <v>17723</v>
      </c>
      <c r="FX107" s="4"/>
      <c r="FY107" s="4">
        <v>15776</v>
      </c>
      <c r="FZ107" s="10"/>
      <c r="GA107" s="10"/>
      <c r="GB107" s="10"/>
      <c r="GC107" s="10"/>
      <c r="GD107" s="4">
        <v>12545</v>
      </c>
      <c r="GE107" s="4">
        <v>7934</v>
      </c>
      <c r="GF107" s="4"/>
      <c r="GG107" s="4"/>
      <c r="GH107" s="4"/>
      <c r="GI107" s="4">
        <v>8564</v>
      </c>
      <c r="GJ107" s="4"/>
      <c r="GK107" s="4"/>
      <c r="GL107" s="4"/>
      <c r="GM107" s="4"/>
      <c r="GN107" s="10"/>
      <c r="GO107" s="10"/>
      <c r="GP107" s="4">
        <v>8031</v>
      </c>
      <c r="GQ107" s="10"/>
      <c r="GR107" s="4">
        <v>10985</v>
      </c>
      <c r="GS107" s="10"/>
      <c r="GT107" s="4">
        <v>15549</v>
      </c>
      <c r="GU107" s="10"/>
      <c r="GV107" s="4">
        <v>11150</v>
      </c>
      <c r="GW107" s="10"/>
      <c r="GX107" s="10"/>
      <c r="GY107" s="10"/>
      <c r="GZ107" s="10"/>
      <c r="HA107" s="18"/>
      <c r="HB107" s="4"/>
      <c r="HC107" s="77">
        <f t="shared" si="79"/>
        <v>2.9177227716450978E-3</v>
      </c>
      <c r="HD107" s="8">
        <f t="shared" si="86"/>
        <v>157086</v>
      </c>
      <c r="HE107" s="2"/>
      <c r="HF107" s="3"/>
      <c r="HG107" s="4">
        <f>38800+1861</f>
        <v>40661</v>
      </c>
      <c r="HH107" s="4">
        <v>21150</v>
      </c>
      <c r="HI107" s="4"/>
      <c r="HJ107" s="4">
        <v>23624</v>
      </c>
      <c r="HK107" s="4"/>
      <c r="HL107" s="4">
        <v>14465</v>
      </c>
      <c r="HM107" s="4">
        <v>19375</v>
      </c>
      <c r="HN107" s="4">
        <v>22274</v>
      </c>
      <c r="HO107" s="4"/>
      <c r="HP107" s="4"/>
      <c r="HQ107" s="4"/>
      <c r="HR107" s="4">
        <v>15240</v>
      </c>
      <c r="HS107" s="4"/>
      <c r="HT107" s="10"/>
      <c r="HU107" s="10"/>
      <c r="HV107" s="4">
        <v>13343</v>
      </c>
      <c r="HW107" s="4"/>
      <c r="HX107" s="4"/>
      <c r="HY107" s="4">
        <v>14817</v>
      </c>
      <c r="HZ107" s="4"/>
      <c r="IA107" s="4"/>
      <c r="IB107" s="4">
        <v>7538</v>
      </c>
      <c r="IC107" s="4"/>
      <c r="ID107" s="10"/>
      <c r="IE107" s="4"/>
      <c r="IF107" s="10"/>
      <c r="IG107" s="4">
        <v>18993</v>
      </c>
      <c r="IH107" s="4"/>
      <c r="II107" s="4"/>
      <c r="IJ107" s="4"/>
      <c r="IK107" s="4"/>
      <c r="IL107" s="4">
        <v>18268</v>
      </c>
      <c r="IM107" s="4">
        <v>19610</v>
      </c>
      <c r="IN107" s="4">
        <v>13213</v>
      </c>
      <c r="IO107" s="4"/>
      <c r="IP107" s="4">
        <v>18675</v>
      </c>
      <c r="IQ107" s="4"/>
      <c r="IR107" s="4">
        <v>15978</v>
      </c>
      <c r="IS107" s="4">
        <v>8861</v>
      </c>
      <c r="IT107" s="10"/>
      <c r="IU107" s="4"/>
      <c r="IV107" s="4"/>
      <c r="IW107" s="4"/>
      <c r="IX107" s="10"/>
      <c r="IY107" s="4"/>
      <c r="IZ107" s="4">
        <v>24654</v>
      </c>
      <c r="JA107" s="4">
        <v>19419</v>
      </c>
      <c r="JB107" s="4">
        <v>14375</v>
      </c>
      <c r="JC107" s="4"/>
      <c r="JD107" s="4"/>
      <c r="JE107" s="4">
        <v>18956</v>
      </c>
      <c r="JF107" s="10"/>
      <c r="JG107" s="10"/>
      <c r="JH107" s="10"/>
      <c r="JI107" s="4"/>
      <c r="JJ107" s="4"/>
      <c r="JK107" s="4"/>
      <c r="JL107" s="4"/>
      <c r="JM107" s="4">
        <v>14411</v>
      </c>
      <c r="JN107" s="10"/>
      <c r="JO107" s="10"/>
      <c r="JP107" s="4"/>
      <c r="JQ107" s="4"/>
      <c r="JR107" s="4"/>
      <c r="JS107" s="4">
        <v>17963</v>
      </c>
      <c r="JT107" s="4"/>
      <c r="JU107" s="10"/>
      <c r="JV107" s="4"/>
      <c r="JW107" s="4">
        <v>15832</v>
      </c>
      <c r="JX107" s="4">
        <v>25632</v>
      </c>
      <c r="JY107" s="4"/>
      <c r="JZ107" s="4"/>
      <c r="KA107" s="4"/>
      <c r="KB107" s="4">
        <v>9579</v>
      </c>
      <c r="KC107" s="4">
        <v>24703</v>
      </c>
      <c r="KD107" s="10"/>
      <c r="KE107" s="10"/>
      <c r="KF107" s="10"/>
      <c r="KG107" s="4">
        <v>9070</v>
      </c>
      <c r="KH107" s="10"/>
      <c r="KI107" s="10"/>
      <c r="KJ107" s="10"/>
      <c r="KK107" s="10"/>
      <c r="KL107" s="4"/>
      <c r="KM107" s="10"/>
      <c r="KN107" s="4">
        <v>9660</v>
      </c>
      <c r="KO107" s="4"/>
      <c r="KP107" s="4">
        <v>13761</v>
      </c>
      <c r="KQ107" s="4">
        <v>14893</v>
      </c>
      <c r="KR107" s="10"/>
      <c r="KS107" s="4"/>
      <c r="KT107" s="4"/>
      <c r="KU107" s="4"/>
      <c r="KV107" s="4">
        <v>17630</v>
      </c>
      <c r="KW107" s="4"/>
      <c r="KX107" s="18"/>
      <c r="KY107" s="4"/>
      <c r="KZ107" s="77">
        <f t="shared" si="80"/>
        <v>8.1928497705418948E-2</v>
      </c>
      <c r="LA107" s="8">
        <f t="shared" si="97"/>
        <v>556623</v>
      </c>
      <c r="LB107" s="2"/>
      <c r="LC107" s="43"/>
      <c r="LD107" s="1">
        <v>4240</v>
      </c>
      <c r="LE107" s="1">
        <v>8896</v>
      </c>
      <c r="LF107" s="1">
        <v>10387</v>
      </c>
      <c r="LG107" s="1">
        <v>16421</v>
      </c>
      <c r="LI107" s="1">
        <v>6284</v>
      </c>
      <c r="LJ107" s="1">
        <v>7047</v>
      </c>
      <c r="LL107" s="1">
        <v>15392</v>
      </c>
      <c r="LM107" s="1">
        <v>12922</v>
      </c>
      <c r="LR107" s="1">
        <v>3042</v>
      </c>
      <c r="LT107" s="1">
        <v>11535</v>
      </c>
      <c r="LY107" s="1">
        <v>7080</v>
      </c>
      <c r="LZ107" s="1">
        <v>6074</v>
      </c>
      <c r="MD107" s="1">
        <v>15174</v>
      </c>
      <c r="ME107" s="1">
        <v>10918</v>
      </c>
      <c r="MF107" s="1">
        <v>6473</v>
      </c>
      <c r="MG107" s="1">
        <v>5041</v>
      </c>
      <c r="MI107" s="1">
        <v>18826</v>
      </c>
      <c r="ML107" s="1">
        <v>6447</v>
      </c>
      <c r="MM107" s="1">
        <v>9874</v>
      </c>
      <c r="MN107" s="1">
        <v>7708</v>
      </c>
      <c r="MO107" s="172"/>
      <c r="MQ107" s="1">
        <v>7349</v>
      </c>
      <c r="MT107" s="1">
        <v>14592</v>
      </c>
      <c r="MU107" s="1">
        <v>10083</v>
      </c>
      <c r="MV107" s="1">
        <v>19912</v>
      </c>
      <c r="MX107" s="1">
        <v>15156</v>
      </c>
      <c r="NC107" s="1">
        <v>16506</v>
      </c>
      <c r="ND107" s="1">
        <v>9869</v>
      </c>
      <c r="NF107" s="1">
        <v>13795</v>
      </c>
      <c r="NG107" s="1">
        <v>15549</v>
      </c>
      <c r="NM107" s="1">
        <v>6255</v>
      </c>
      <c r="NN107" s="1">
        <v>10638</v>
      </c>
      <c r="NO107" s="77"/>
      <c r="NP107" s="63"/>
      <c r="NQ107"/>
      <c r="NR107" s="77">
        <f t="shared" si="81"/>
        <v>2.2121642666137229E-2</v>
      </c>
      <c r="NS107" s="8">
        <f t="shared" si="84"/>
        <v>329485</v>
      </c>
      <c r="NT107" s="2"/>
      <c r="NU107" s="7"/>
      <c r="NV107" s="4">
        <v>1311</v>
      </c>
      <c r="NW107" s="4"/>
      <c r="NX107" s="4"/>
      <c r="NY107" s="4"/>
      <c r="NZ107" s="4"/>
      <c r="OA107" s="4">
        <v>12973</v>
      </c>
      <c r="OB107" s="4">
        <v>12545</v>
      </c>
      <c r="OC107" s="4"/>
      <c r="OD107" s="4"/>
      <c r="OE107" s="77">
        <f t="shared" si="82"/>
        <v>1.3715710723192019E-2</v>
      </c>
      <c r="OF107" s="8">
        <f t="shared" si="71"/>
        <v>26829</v>
      </c>
      <c r="OG107" s="2"/>
      <c r="OI107" s="1">
        <v>221</v>
      </c>
      <c r="OJ107" s="40"/>
      <c r="OK107" s="40"/>
      <c r="OL107" s="40"/>
      <c r="OM107" s="40"/>
      <c r="ON107" s="40"/>
      <c r="OO107" s="40">
        <v>15405</v>
      </c>
      <c r="OQ107" s="40"/>
      <c r="OR107" s="77">
        <f t="shared" si="83"/>
        <v>-1.9944806823883592E-2</v>
      </c>
      <c r="OS107" s="8">
        <f t="shared" si="85"/>
        <v>15626</v>
      </c>
      <c r="OT107" s="37"/>
      <c r="OU107" s="126">
        <f t="shared" si="65"/>
        <v>793436</v>
      </c>
      <c r="OV107" s="71">
        <f t="shared" si="73"/>
        <v>-4.6415145134462106E-2</v>
      </c>
      <c r="OW107" s="139">
        <f>IF(A107="","",SUM(Z$17:Z107))</f>
        <v>20000</v>
      </c>
      <c r="OX107" s="139">
        <f t="shared" si="87"/>
        <v>824639</v>
      </c>
      <c r="OY107" s="132">
        <f t="shared" si="88"/>
        <v>0.15562179349737734</v>
      </c>
      <c r="OZ107" s="140">
        <f t="shared" si="66"/>
        <v>1070023</v>
      </c>
      <c r="PA107" s="84">
        <f t="shared" si="77"/>
        <v>4.9122383868570339E-2</v>
      </c>
      <c r="PB107" s="130">
        <f>IF(A107="","",SUM(HB$17:HB107)+SUM(KY$17:KY107))</f>
        <v>115756.47</v>
      </c>
      <c r="PC107" s="131">
        <f t="shared" si="89"/>
        <v>829465.47</v>
      </c>
      <c r="PD107" s="132">
        <f t="shared" si="90"/>
        <v>0.25577456280723848</v>
      </c>
      <c r="PE107" s="133">
        <f t="shared" si="67"/>
        <v>713709</v>
      </c>
      <c r="PF107" s="84">
        <f t="shared" si="69"/>
        <v>6.3488113580349934E-2</v>
      </c>
      <c r="PG107" s="133">
        <f t="shared" si="68"/>
        <v>1149750</v>
      </c>
      <c r="PH107" s="84" t="str">
        <f t="shared" si="70"/>
        <v/>
      </c>
      <c r="PI107" s="135">
        <f t="shared" si="91"/>
        <v>1863459</v>
      </c>
      <c r="PJ107" s="136">
        <f t="shared" si="74"/>
        <v>6.1993177024781071E-3</v>
      </c>
      <c r="PK107" s="123">
        <f t="shared" si="72"/>
        <v>0.12258189275025663</v>
      </c>
      <c r="PL107" s="137">
        <f t="shared" si="92"/>
        <v>135756.47</v>
      </c>
      <c r="PM107" s="9">
        <f t="shared" si="93"/>
        <v>1654104.47</v>
      </c>
      <c r="PN107" s="138">
        <f t="shared" si="94"/>
        <v>0.20376423284889855</v>
      </c>
      <c r="PO107" s="86">
        <f>IF(PI107="","",MAX(PI$15:PI107))</f>
        <v>1940884.25</v>
      </c>
      <c r="PP107" s="113">
        <f t="shared" si="75"/>
        <v>-4.1549210366313399E-2</v>
      </c>
      <c r="PQ107" s="41"/>
      <c r="PR107" s="302"/>
    </row>
    <row r="108" spans="1:434" s="1" customFormat="1" ht="15" customHeight="1" x14ac:dyDescent="0.45">
      <c r="A108" s="18">
        <v>45629</v>
      </c>
      <c r="B108" s="3"/>
      <c r="C108" s="4">
        <v>82867</v>
      </c>
      <c r="D108" s="10"/>
      <c r="E108" s="4">
        <v>23166</v>
      </c>
      <c r="F108" s="10"/>
      <c r="G108" s="4"/>
      <c r="H108" s="4"/>
      <c r="I108" s="4">
        <v>29667</v>
      </c>
      <c r="J108" s="4">
        <v>10880</v>
      </c>
      <c r="K108" s="4">
        <v>18841</v>
      </c>
      <c r="L108" s="4">
        <v>17188</v>
      </c>
      <c r="M108" s="4">
        <v>12922</v>
      </c>
      <c r="N108" s="4"/>
      <c r="O108" s="10"/>
      <c r="P108" s="4"/>
      <c r="Q108" s="4">
        <v>7827</v>
      </c>
      <c r="R108" s="4"/>
      <c r="S108" s="4">
        <v>23995</v>
      </c>
      <c r="T108" s="4">
        <v>7234</v>
      </c>
      <c r="U108" s="10"/>
      <c r="V108" s="4"/>
      <c r="W108" s="4">
        <v>31515</v>
      </c>
      <c r="X108" s="4"/>
      <c r="Y108" s="4" t="str">
        <f t="shared" si="64"/>
        <v/>
      </c>
      <c r="Z108" s="4"/>
      <c r="AA108" s="77">
        <f t="shared" si="78"/>
        <v>2.6010580052129119E-2</v>
      </c>
      <c r="AB108" s="8">
        <f t="shared" si="95"/>
        <v>266102</v>
      </c>
      <c r="AC108" s="2"/>
      <c r="AD108" s="3"/>
      <c r="AE108" s="4">
        <v>25622</v>
      </c>
      <c r="AF108" s="4">
        <v>0</v>
      </c>
      <c r="AG108" s="4"/>
      <c r="AH108" s="4">
        <v>21734</v>
      </c>
      <c r="AI108" s="1">
        <v>10059</v>
      </c>
      <c r="AJ108" s="4">
        <v>26541</v>
      </c>
      <c r="AK108" s="4">
        <v>21125</v>
      </c>
      <c r="AL108" s="4">
        <v>22249</v>
      </c>
      <c r="AM108" s="4"/>
      <c r="AN108" s="1">
        <v>6264</v>
      </c>
      <c r="AO108" s="4"/>
      <c r="AP108" s="10"/>
      <c r="AQ108" s="4"/>
      <c r="AR108" s="4">
        <v>8106</v>
      </c>
      <c r="AS108" s="4"/>
      <c r="AT108" s="4">
        <v>174289</v>
      </c>
      <c r="AU108" s="4"/>
      <c r="AV108" s="1">
        <v>2969</v>
      </c>
      <c r="AW108" s="4"/>
      <c r="AX108" s="4"/>
      <c r="AY108" s="4"/>
      <c r="AZ108" s="4"/>
      <c r="BA108" s="4"/>
      <c r="BB108" s="4"/>
      <c r="BC108" s="4"/>
      <c r="BD108" s="4"/>
      <c r="BE108" s="4">
        <v>20609</v>
      </c>
      <c r="BF108" s="4">
        <v>15047</v>
      </c>
      <c r="BG108" s="1">
        <v>7050</v>
      </c>
      <c r="BH108" s="4"/>
      <c r="BI108" s="4"/>
      <c r="BJ108" s="4">
        <v>19071</v>
      </c>
      <c r="BK108" s="4"/>
      <c r="BL108" s="4"/>
      <c r="BM108" s="4">
        <v>19705</v>
      </c>
      <c r="BN108" s="4">
        <v>9421</v>
      </c>
      <c r="BO108" s="4"/>
      <c r="BP108" s="4"/>
      <c r="BQ108" s="4"/>
      <c r="BR108" s="1">
        <v>9849</v>
      </c>
      <c r="BS108" s="4">
        <v>9536</v>
      </c>
      <c r="BT108" s="4"/>
      <c r="BU108" s="4"/>
      <c r="BV108" s="4"/>
      <c r="BW108" s="4"/>
      <c r="BX108" s="1">
        <v>7378</v>
      </c>
      <c r="BY108" s="1">
        <v>7085</v>
      </c>
      <c r="BZ108" s="1">
        <v>7758</v>
      </c>
      <c r="CA108" s="4"/>
      <c r="CB108" s="4"/>
      <c r="CC108" s="4"/>
      <c r="CD108" s="4"/>
      <c r="CE108" s="4"/>
      <c r="CF108" s="4"/>
      <c r="CG108" s="4">
        <v>21654</v>
      </c>
      <c r="CH108" s="4">
        <v>27299</v>
      </c>
      <c r="CI108" s="4">
        <v>9624</v>
      </c>
      <c r="CJ108" s="10"/>
      <c r="CK108" s="4"/>
      <c r="CL108" s="10"/>
      <c r="CM108" s="1">
        <v>18946</v>
      </c>
      <c r="CN108" s="4"/>
      <c r="CO108" s="10"/>
      <c r="CP108" s="4"/>
      <c r="CQ108" s="4"/>
      <c r="CR108" s="10"/>
      <c r="CS108" s="4">
        <v>937</v>
      </c>
      <c r="CT108" s="4"/>
      <c r="CU108" s="4">
        <v>13475</v>
      </c>
      <c r="CV108" s="4">
        <v>18007</v>
      </c>
      <c r="CW108" s="4"/>
      <c r="CX108" s="4"/>
      <c r="CY108" s="77">
        <f t="shared" si="76"/>
        <v>8.2852094882091762E-2</v>
      </c>
      <c r="CZ108" s="8">
        <f t="shared" si="96"/>
        <v>561409</v>
      </c>
      <c r="DA108" s="2"/>
      <c r="DD108" s="1">
        <v>16309</v>
      </c>
      <c r="DE108" s="1">
        <v>11435</v>
      </c>
      <c r="DF108" s="1">
        <v>12839</v>
      </c>
      <c r="DG108" s="1">
        <v>11471</v>
      </c>
      <c r="DH108" s="4">
        <v>75308</v>
      </c>
      <c r="DJ108" s="4">
        <v>78069</v>
      </c>
      <c r="DK108" s="1">
        <v>6056</v>
      </c>
      <c r="DL108" s="1">
        <v>15128</v>
      </c>
      <c r="DM108" s="1">
        <v>18687</v>
      </c>
      <c r="DN108" s="1">
        <v>14496</v>
      </c>
      <c r="DO108" s="1">
        <v>10017</v>
      </c>
      <c r="DP108" s="1">
        <v>19692</v>
      </c>
      <c r="DQ108" s="1">
        <v>15141</v>
      </c>
      <c r="DR108" s="1">
        <v>16380</v>
      </c>
      <c r="DS108" s="1">
        <v>9843</v>
      </c>
      <c r="DU108" s="1">
        <v>13722</v>
      </c>
      <c r="DX108" s="2"/>
      <c r="DY108" s="32"/>
      <c r="DZ108" s="4">
        <v>1413</v>
      </c>
      <c r="EA108" s="32"/>
      <c r="EB108" s="32"/>
      <c r="EC108" s="32"/>
      <c r="ED108" s="32"/>
      <c r="EE108" s="4">
        <v>12874</v>
      </c>
      <c r="EF108" s="4">
        <v>12475</v>
      </c>
      <c r="EG108" s="32"/>
      <c r="EH108" s="32"/>
      <c r="EI108" s="32"/>
      <c r="EJ108" s="32"/>
      <c r="EK108" s="5"/>
      <c r="EO108" s="2"/>
      <c r="EQ108" s="468" t="s">
        <v>1</v>
      </c>
      <c r="ER108"/>
      <c r="ES108" s="6"/>
      <c r="ET108" s="10"/>
      <c r="EU108" s="10"/>
      <c r="EV108" s="10"/>
      <c r="EW108" s="10"/>
      <c r="EX108" s="4">
        <f>8102+14764</f>
        <v>22866</v>
      </c>
      <c r="EY108" s="4"/>
      <c r="EZ108" s="4"/>
      <c r="FA108" s="4"/>
      <c r="FB108" s="4"/>
      <c r="FC108" s="4"/>
      <c r="FD108" s="4"/>
      <c r="FE108" s="4"/>
      <c r="FF108" s="4"/>
      <c r="FG108" s="4"/>
      <c r="FH108" s="10"/>
      <c r="FI108" s="10"/>
      <c r="FJ108" s="10"/>
      <c r="FK108" s="10"/>
      <c r="FL108" s="10"/>
      <c r="FM108" s="10"/>
      <c r="FN108" s="4"/>
      <c r="FO108" s="4"/>
      <c r="FP108" s="10"/>
      <c r="FQ108" s="4"/>
      <c r="FR108" s="4"/>
      <c r="FS108" s="10"/>
      <c r="FT108" s="4">
        <v>29667</v>
      </c>
      <c r="FU108" s="4">
        <v>10880</v>
      </c>
      <c r="FV108" s="4"/>
      <c r="FW108" s="4">
        <v>18841</v>
      </c>
      <c r="FX108" s="4"/>
      <c r="FY108" s="4">
        <v>17188</v>
      </c>
      <c r="FZ108" s="10"/>
      <c r="GA108" s="10"/>
      <c r="GB108" s="10"/>
      <c r="GC108" s="10"/>
      <c r="GD108" s="4">
        <v>12922</v>
      </c>
      <c r="GE108" s="4"/>
      <c r="GF108" s="4"/>
      <c r="GG108" s="4"/>
      <c r="GH108" s="4"/>
      <c r="GI108" s="4">
        <v>6199</v>
      </c>
      <c r="GJ108" s="4"/>
      <c r="GK108" s="4"/>
      <c r="GL108" s="4"/>
      <c r="GM108" s="4"/>
      <c r="GN108" s="10"/>
      <c r="GO108" s="10"/>
      <c r="GP108" s="4">
        <v>7827</v>
      </c>
      <c r="GQ108" s="10"/>
      <c r="GR108" s="4">
        <v>10652</v>
      </c>
      <c r="GS108" s="10"/>
      <c r="GT108" s="4">
        <v>23995</v>
      </c>
      <c r="GU108" s="10"/>
      <c r="GV108" s="4">
        <v>7234</v>
      </c>
      <c r="GW108" s="10"/>
      <c r="GX108" s="10"/>
      <c r="GY108" s="10"/>
      <c r="GZ108" s="10"/>
      <c r="HA108" s="18"/>
      <c r="HB108" s="4"/>
      <c r="HC108" s="77">
        <f t="shared" si="79"/>
        <v>7.1203035280037685E-2</v>
      </c>
      <c r="HD108" s="8">
        <f t="shared" si="86"/>
        <v>168271</v>
      </c>
      <c r="HE108" s="2"/>
      <c r="HF108" s="3"/>
      <c r="HG108" s="4">
        <v>40641</v>
      </c>
      <c r="HH108" s="4">
        <v>21734</v>
      </c>
      <c r="HI108" s="4"/>
      <c r="HJ108" s="4">
        <v>26541</v>
      </c>
      <c r="HK108" s="4"/>
      <c r="HL108" s="4">
        <v>14272</v>
      </c>
      <c r="HM108" s="4">
        <v>21125</v>
      </c>
      <c r="HN108" s="4">
        <v>22249</v>
      </c>
      <c r="HO108" s="4"/>
      <c r="HP108" s="4"/>
      <c r="HQ108" s="4"/>
      <c r="HR108" s="4">
        <v>16212</v>
      </c>
      <c r="HS108" s="4"/>
      <c r="HT108" s="10"/>
      <c r="HU108" s="10"/>
      <c r="HV108" s="4">
        <v>14619</v>
      </c>
      <c r="HW108" s="4"/>
      <c r="HX108" s="4"/>
      <c r="HY108" s="4">
        <v>16979</v>
      </c>
      <c r="HZ108" s="4"/>
      <c r="IA108" s="4"/>
      <c r="IB108" s="4">
        <v>8106</v>
      </c>
      <c r="IC108" s="4"/>
      <c r="ID108" s="10"/>
      <c r="IE108" s="4"/>
      <c r="IF108" s="10"/>
      <c r="IG108" s="4">
        <v>19748</v>
      </c>
      <c r="IH108" s="4"/>
      <c r="II108" s="4"/>
      <c r="IJ108" s="4"/>
      <c r="IK108" s="4"/>
      <c r="IL108" s="4">
        <v>8259</v>
      </c>
      <c r="IM108" s="4">
        <v>20609</v>
      </c>
      <c r="IN108" s="4">
        <v>15047</v>
      </c>
      <c r="IO108" s="4"/>
      <c r="IP108" s="4">
        <v>19071</v>
      </c>
      <c r="IQ108" s="4"/>
      <c r="IR108" s="4">
        <v>19705</v>
      </c>
      <c r="IS108" s="4">
        <v>9421</v>
      </c>
      <c r="IT108" s="10"/>
      <c r="IU108" s="4"/>
      <c r="IV108" s="4"/>
      <c r="IW108" s="4"/>
      <c r="IX108" s="10"/>
      <c r="IY108" s="4"/>
      <c r="IZ108" s="4">
        <v>22241</v>
      </c>
      <c r="JA108" s="4">
        <v>21626</v>
      </c>
      <c r="JB108" s="4">
        <v>11981</v>
      </c>
      <c r="JC108" s="4"/>
      <c r="JD108" s="4"/>
      <c r="JE108" s="4">
        <v>21946</v>
      </c>
      <c r="JF108" s="10"/>
      <c r="JG108" s="10"/>
      <c r="JH108" s="4">
        <v>9536</v>
      </c>
      <c r="JI108" s="4"/>
      <c r="JJ108" s="4"/>
      <c r="JK108" s="4"/>
      <c r="JL108" s="4"/>
      <c r="JM108" s="4"/>
      <c r="JN108" s="10"/>
      <c r="JO108" s="10"/>
      <c r="JP108" s="4"/>
      <c r="JQ108" s="4"/>
      <c r="JR108" s="4">
        <v>6799</v>
      </c>
      <c r="JS108" s="4">
        <v>15516</v>
      </c>
      <c r="JT108" s="4"/>
      <c r="JU108" s="10"/>
      <c r="JV108" s="4"/>
      <c r="JW108" s="4">
        <v>21654</v>
      </c>
      <c r="JX108" s="4">
        <v>27299</v>
      </c>
      <c r="JY108" s="4"/>
      <c r="JZ108" s="4"/>
      <c r="KA108" s="4"/>
      <c r="KB108" s="4">
        <v>9624</v>
      </c>
      <c r="KC108" s="4">
        <v>26690</v>
      </c>
      <c r="KD108" s="10"/>
      <c r="KE108" s="10"/>
      <c r="KF108" s="10"/>
      <c r="KG108" s="4"/>
      <c r="KH108" s="10"/>
      <c r="KI108" s="10"/>
      <c r="KJ108" s="10"/>
      <c r="KK108" s="10"/>
      <c r="KL108" s="4"/>
      <c r="KM108" s="10"/>
      <c r="KN108" s="4">
        <v>937</v>
      </c>
      <c r="KO108" s="4"/>
      <c r="KP108" s="4">
        <v>13475</v>
      </c>
      <c r="KQ108" s="4">
        <v>18007</v>
      </c>
      <c r="KR108" s="10"/>
      <c r="KS108" s="4"/>
      <c r="KT108" s="4"/>
      <c r="KU108" s="4"/>
      <c r="KV108" s="4">
        <v>12367</v>
      </c>
      <c r="KW108" s="4"/>
      <c r="KX108" s="18"/>
      <c r="KY108" s="4"/>
      <c r="KZ108" s="77">
        <f t="shared" si="80"/>
        <v>-4.6476699669255493E-3</v>
      </c>
      <c r="LA108" s="8">
        <f t="shared" si="97"/>
        <v>554036</v>
      </c>
      <c r="LB108" s="2"/>
      <c r="LC108" s="43"/>
      <c r="LD108" s="1">
        <f>16036-12064</f>
        <v>3972</v>
      </c>
      <c r="LE108" s="1">
        <v>8900</v>
      </c>
      <c r="LF108" s="1">
        <v>10059</v>
      </c>
      <c r="LG108" s="1">
        <v>16309</v>
      </c>
      <c r="LI108" s="1">
        <v>6264</v>
      </c>
      <c r="LL108" s="1">
        <v>11435</v>
      </c>
      <c r="LM108" s="1">
        <v>12839</v>
      </c>
      <c r="LN108" s="1">
        <v>5962</v>
      </c>
      <c r="LR108" s="1">
        <v>2969</v>
      </c>
      <c r="LT108" s="1">
        <v>11471</v>
      </c>
      <c r="LY108" s="1">
        <v>7050</v>
      </c>
      <c r="LZ108" s="1">
        <v>6056</v>
      </c>
      <c r="MD108" s="1">
        <v>15128</v>
      </c>
      <c r="ME108" s="1">
        <v>9849</v>
      </c>
      <c r="MF108" s="1">
        <v>7209</v>
      </c>
      <c r="MG108" s="1">
        <v>4099</v>
      </c>
      <c r="MI108" s="1">
        <v>18687</v>
      </c>
      <c r="MM108" s="1">
        <v>7378</v>
      </c>
      <c r="MN108" s="1">
        <v>7085</v>
      </c>
      <c r="MO108" s="172"/>
      <c r="MQ108" s="1">
        <v>7758</v>
      </c>
      <c r="MT108" s="1">
        <v>14496</v>
      </c>
      <c r="MU108" s="1">
        <v>10017</v>
      </c>
      <c r="MV108" s="1">
        <v>19692</v>
      </c>
      <c r="MX108" s="1">
        <v>15141</v>
      </c>
      <c r="NC108" s="1">
        <v>16380</v>
      </c>
      <c r="ND108" s="1">
        <v>9843</v>
      </c>
      <c r="NF108" s="1">
        <v>13722</v>
      </c>
      <c r="NG108" s="1">
        <v>18946</v>
      </c>
      <c r="NM108" s="1">
        <v>6125</v>
      </c>
      <c r="NN108" s="1">
        <v>11255</v>
      </c>
      <c r="NO108" s="77"/>
      <c r="NP108" s="63"/>
      <c r="NQ108"/>
      <c r="NR108" s="77">
        <f t="shared" si="81"/>
        <v>-4.0636144285779323E-2</v>
      </c>
      <c r="NS108" s="8">
        <f t="shared" si="84"/>
        <v>316096</v>
      </c>
      <c r="NT108" s="2"/>
      <c r="NU108" s="7"/>
      <c r="NV108" s="4">
        <v>1413</v>
      </c>
      <c r="NW108" s="4"/>
      <c r="NX108" s="4"/>
      <c r="NY108" s="4"/>
      <c r="NZ108" s="4"/>
      <c r="OA108" s="4">
        <v>12874</v>
      </c>
      <c r="OB108" s="4">
        <v>12475</v>
      </c>
      <c r="OC108" s="4"/>
      <c r="OD108" s="4"/>
      <c r="OE108" s="77">
        <f t="shared" si="82"/>
        <v>-2.4972977002497296E-3</v>
      </c>
      <c r="OF108" s="8">
        <f t="shared" si="71"/>
        <v>26762</v>
      </c>
      <c r="OG108" s="2"/>
      <c r="OI108" s="1">
        <v>223</v>
      </c>
      <c r="OJ108" s="40"/>
      <c r="OK108" s="40"/>
      <c r="OL108" s="40"/>
      <c r="OM108" s="40"/>
      <c r="ON108" s="40"/>
      <c r="OO108" s="40">
        <v>15514</v>
      </c>
      <c r="OQ108" s="40"/>
      <c r="OR108" s="77">
        <f t="shared" si="83"/>
        <v>7.1035453730961219E-3</v>
      </c>
      <c r="OS108" s="8">
        <f t="shared" si="85"/>
        <v>15737</v>
      </c>
      <c r="OT108" s="37"/>
      <c r="OU108" s="126">
        <f t="shared" si="65"/>
        <v>843248</v>
      </c>
      <c r="OV108" s="71">
        <f t="shared" si="73"/>
        <v>6.2780110809189396E-2</v>
      </c>
      <c r="OW108" s="139">
        <f>IF(A108="","",SUM(Z$17:Z108))</f>
        <v>20000</v>
      </c>
      <c r="OX108" s="139">
        <f t="shared" si="87"/>
        <v>874273</v>
      </c>
      <c r="OY108" s="132">
        <f t="shared" si="88"/>
        <v>0.22517723787782604</v>
      </c>
      <c r="OZ108" s="140">
        <f t="shared" si="66"/>
        <v>1065165</v>
      </c>
      <c r="PA108" s="84">
        <f t="shared" si="77"/>
        <v>-4.5400893251827295E-3</v>
      </c>
      <c r="PB108" s="130">
        <f>IF(A108="","",SUM(HB$17:HB108)+SUM(KY$17:KY108))</f>
        <v>115756.47</v>
      </c>
      <c r="PC108" s="131">
        <f t="shared" si="89"/>
        <v>838063.47</v>
      </c>
      <c r="PD108" s="132">
        <f t="shared" si="90"/>
        <v>0.26879155999582144</v>
      </c>
      <c r="PE108" s="133">
        <f t="shared" si="67"/>
        <v>722307</v>
      </c>
      <c r="PF108" s="84">
        <f t="shared" si="69"/>
        <v>1.2046926688608382E-2</v>
      </c>
      <c r="PG108" s="133">
        <f t="shared" si="68"/>
        <v>1186106</v>
      </c>
      <c r="PH108" s="84" t="str">
        <f t="shared" si="70"/>
        <v/>
      </c>
      <c r="PI108" s="135">
        <f t="shared" si="91"/>
        <v>1908413</v>
      </c>
      <c r="PJ108" s="136">
        <f t="shared" si="74"/>
        <v>2.4123954430980237E-2</v>
      </c>
      <c r="PK108" s="123">
        <f t="shared" si="72"/>
        <v>8.003732905939373E-2</v>
      </c>
      <c r="PL108" s="137">
        <f t="shared" si="92"/>
        <v>135756.47</v>
      </c>
      <c r="PM108" s="9">
        <f t="shared" si="93"/>
        <v>1712336.47</v>
      </c>
      <c r="PN108" s="138">
        <f t="shared" si="94"/>
        <v>0.24614220841126255</v>
      </c>
      <c r="PO108" s="86">
        <f>IF(PI108="","",MAX(PI$15:PI108))</f>
        <v>1940884.25</v>
      </c>
      <c r="PP108" s="113">
        <f t="shared" si="75"/>
        <v>-1.7014791871570775E-2</v>
      </c>
      <c r="PQ108" s="41"/>
      <c r="PR108" s="302"/>
    </row>
    <row r="109" spans="1:434" s="1" customFormat="1" ht="15" customHeight="1" x14ac:dyDescent="0.45">
      <c r="A109" s="18">
        <v>45690</v>
      </c>
      <c r="B109" s="3"/>
      <c r="C109" s="4">
        <v>103560</v>
      </c>
      <c r="D109" s="10"/>
      <c r="E109" s="4">
        <v>21813</v>
      </c>
      <c r="F109" s="10"/>
      <c r="G109" s="4"/>
      <c r="H109" s="4">
        <v>10179</v>
      </c>
      <c r="I109" s="4">
        <v>29432</v>
      </c>
      <c r="J109" s="4">
        <v>10598</v>
      </c>
      <c r="K109" s="4">
        <v>16582</v>
      </c>
      <c r="L109" s="4">
        <v>16038</v>
      </c>
      <c r="M109" s="4">
        <v>12452</v>
      </c>
      <c r="N109" s="4"/>
      <c r="O109" s="10"/>
      <c r="P109" s="4"/>
      <c r="Q109" s="4">
        <v>14652</v>
      </c>
      <c r="R109" s="4"/>
      <c r="S109" s="4">
        <v>22473</v>
      </c>
      <c r="T109" s="4">
        <v>9607</v>
      </c>
      <c r="U109" s="10"/>
      <c r="V109" s="4"/>
      <c r="W109" s="4">
        <v>29890</v>
      </c>
      <c r="X109" s="4"/>
      <c r="Y109" s="4" t="str">
        <f t="shared" si="64"/>
        <v/>
      </c>
      <c r="Z109" s="4"/>
      <c r="AA109" s="77">
        <f t="shared" si="78"/>
        <v>0.11715056632419148</v>
      </c>
      <c r="AB109" s="8">
        <f t="shared" si="95"/>
        <v>297276</v>
      </c>
      <c r="AC109" s="2"/>
      <c r="AD109" s="3"/>
      <c r="AE109" s="4">
        <v>192803</v>
      </c>
      <c r="AF109" s="4"/>
      <c r="AG109" s="4"/>
      <c r="AH109" s="4">
        <v>17700</v>
      </c>
      <c r="AI109" s="1">
        <v>10115</v>
      </c>
      <c r="AJ109" s="4">
        <v>24956</v>
      </c>
      <c r="AK109" s="4">
        <v>22222</v>
      </c>
      <c r="AL109" s="4">
        <v>20101</v>
      </c>
      <c r="AM109" s="4"/>
      <c r="AN109" s="1">
        <v>6120</v>
      </c>
      <c r="AO109" s="4"/>
      <c r="AP109" s="10"/>
      <c r="AQ109" s="4"/>
      <c r="AR109" s="4">
        <v>7460</v>
      </c>
      <c r="AS109" s="4"/>
      <c r="AT109" s="4"/>
      <c r="AU109" s="4"/>
      <c r="AV109" s="1">
        <v>2913</v>
      </c>
      <c r="AW109" s="4"/>
      <c r="AX109" s="4"/>
      <c r="AY109" s="4"/>
      <c r="AZ109" s="4"/>
      <c r="BA109" s="4"/>
      <c r="BB109" s="4"/>
      <c r="BC109" s="4"/>
      <c r="BD109" s="4"/>
      <c r="BE109" s="4">
        <v>16322</v>
      </c>
      <c r="BF109" s="4">
        <v>16010</v>
      </c>
      <c r="BG109" s="1">
        <v>6801</v>
      </c>
      <c r="BH109" s="4"/>
      <c r="BI109" s="4">
        <v>19795</v>
      </c>
      <c r="BJ109" s="4">
        <v>18539</v>
      </c>
      <c r="BK109" s="4"/>
      <c r="BL109" s="4"/>
      <c r="BM109" s="4">
        <v>16163</v>
      </c>
      <c r="BN109" s="4">
        <v>8883</v>
      </c>
      <c r="BO109" s="4">
        <v>12290</v>
      </c>
      <c r="BP109" s="4"/>
      <c r="BQ109" s="4"/>
      <c r="BR109" s="1">
        <v>9839</v>
      </c>
      <c r="BS109" s="4">
        <v>12103</v>
      </c>
      <c r="BT109" s="4"/>
      <c r="BU109" s="4"/>
      <c r="BV109" s="4"/>
      <c r="BW109" s="4"/>
      <c r="BX109" s="1">
        <v>6683</v>
      </c>
      <c r="BY109" s="1">
        <v>6639</v>
      </c>
      <c r="BZ109" s="1">
        <v>7560</v>
      </c>
      <c r="CA109" s="4"/>
      <c r="CB109" s="4"/>
      <c r="CC109" s="4"/>
      <c r="CD109" s="4"/>
      <c r="CE109" s="4"/>
      <c r="CF109" s="4"/>
      <c r="CG109" s="4">
        <v>20055</v>
      </c>
      <c r="CH109" s="4">
        <v>24412</v>
      </c>
      <c r="CI109" s="4">
        <v>9130</v>
      </c>
      <c r="CJ109" s="10"/>
      <c r="CK109" s="4"/>
      <c r="CL109" s="10"/>
      <c r="CM109" s="1">
        <v>18729</v>
      </c>
      <c r="CN109" s="4"/>
      <c r="CO109" s="10"/>
      <c r="CP109" s="4"/>
      <c r="CQ109" s="4"/>
      <c r="CR109" s="10"/>
      <c r="CS109" s="4">
        <v>9233</v>
      </c>
      <c r="CT109" s="4"/>
      <c r="CU109" s="4">
        <v>13077</v>
      </c>
      <c r="CV109" s="4">
        <v>14317</v>
      </c>
      <c r="CW109" s="4"/>
      <c r="CX109" s="4"/>
      <c r="CY109" s="77">
        <f t="shared" si="76"/>
        <v>1.7030364671745554E-2</v>
      </c>
      <c r="CZ109" s="8">
        <f t="shared" si="96"/>
        <v>570970</v>
      </c>
      <c r="DA109" s="2"/>
      <c r="DD109" s="1">
        <v>16018</v>
      </c>
      <c r="DE109" s="1">
        <v>11241</v>
      </c>
      <c r="DF109" s="1">
        <v>12618</v>
      </c>
      <c r="DG109" s="1">
        <v>11260</v>
      </c>
      <c r="DH109" s="4">
        <v>71374</v>
      </c>
      <c r="DJ109" s="4">
        <v>77180</v>
      </c>
      <c r="DK109" s="1">
        <v>8829</v>
      </c>
      <c r="DL109" s="1">
        <v>15122</v>
      </c>
      <c r="DM109" s="1">
        <v>18369</v>
      </c>
      <c r="DN109" s="1">
        <v>14486</v>
      </c>
      <c r="DO109" s="1">
        <v>9457</v>
      </c>
      <c r="DP109" s="1">
        <v>19455</v>
      </c>
      <c r="DQ109" s="1">
        <v>15219</v>
      </c>
      <c r="DR109" s="1">
        <v>16097</v>
      </c>
      <c r="DS109" s="1">
        <v>9343</v>
      </c>
      <c r="DU109" s="1">
        <v>13683</v>
      </c>
      <c r="DX109" s="2"/>
      <c r="DY109" s="32"/>
      <c r="DZ109" s="4">
        <v>525</v>
      </c>
      <c r="EA109" s="32"/>
      <c r="EB109" s="32"/>
      <c r="EC109" s="32"/>
      <c r="ED109" s="32"/>
      <c r="EE109" s="4">
        <v>12659</v>
      </c>
      <c r="EF109" s="4">
        <v>12439</v>
      </c>
      <c r="EG109" s="32"/>
      <c r="EH109" s="32"/>
      <c r="EI109" s="32"/>
      <c r="EJ109" s="32"/>
      <c r="EK109" s="5"/>
      <c r="EO109" s="2"/>
      <c r="EQ109" s="468" t="s">
        <v>1</v>
      </c>
      <c r="ER109"/>
      <c r="ES109" s="6"/>
      <c r="ET109" s="10"/>
      <c r="EU109" s="10"/>
      <c r="EV109" s="10"/>
      <c r="EW109" s="10"/>
      <c r="EX109" s="4">
        <v>6696</v>
      </c>
      <c r="EY109" s="4"/>
      <c r="EZ109" s="4"/>
      <c r="FA109" s="4"/>
      <c r="FB109" s="4"/>
      <c r="FC109" s="4"/>
      <c r="FD109" s="4"/>
      <c r="FE109" s="4"/>
      <c r="FF109" s="4"/>
      <c r="FG109" s="4"/>
      <c r="FH109" s="10"/>
      <c r="FI109" s="10"/>
      <c r="FJ109" s="10"/>
      <c r="FK109" s="10"/>
      <c r="FL109" s="10"/>
      <c r="FM109" s="10"/>
      <c r="FN109" s="4"/>
      <c r="FO109" s="4"/>
      <c r="FP109" s="10"/>
      <c r="FQ109" s="4"/>
      <c r="FR109" s="4">
        <v>10179</v>
      </c>
      <c r="FS109" s="10"/>
      <c r="FT109" s="4">
        <v>29432</v>
      </c>
      <c r="FU109" s="4">
        <v>10598</v>
      </c>
      <c r="FV109" s="4"/>
      <c r="FW109" s="4">
        <v>16582</v>
      </c>
      <c r="FX109" s="4"/>
      <c r="FY109" s="4">
        <v>16038</v>
      </c>
      <c r="FZ109" s="10"/>
      <c r="GA109" s="10"/>
      <c r="GB109" s="10"/>
      <c r="GC109" s="10"/>
      <c r="GD109" s="4">
        <v>12452</v>
      </c>
      <c r="GE109" s="4"/>
      <c r="GF109" s="4"/>
      <c r="GG109" s="4"/>
      <c r="GH109" s="4"/>
      <c r="GI109" s="4"/>
      <c r="GJ109" s="4"/>
      <c r="GK109" s="4"/>
      <c r="GL109" s="4"/>
      <c r="GM109" s="4"/>
      <c r="GN109" s="10"/>
      <c r="GO109" s="10"/>
      <c r="GP109" s="4">
        <v>14652</v>
      </c>
      <c r="GQ109" s="10"/>
      <c r="GR109" s="4">
        <v>13628</v>
      </c>
      <c r="GS109" s="10"/>
      <c r="GT109" s="4">
        <v>22473</v>
      </c>
      <c r="GU109" s="10"/>
      <c r="GV109" s="4">
        <v>9607</v>
      </c>
      <c r="GW109" s="10"/>
      <c r="GX109" s="10"/>
      <c r="GY109" s="10"/>
      <c r="GZ109" s="10"/>
      <c r="HA109" s="18"/>
      <c r="HB109" s="4"/>
      <c r="HC109" s="77">
        <f t="shared" si="79"/>
        <v>-3.52645435042283E-2</v>
      </c>
      <c r="HD109" s="8">
        <f t="shared" si="86"/>
        <v>162337</v>
      </c>
      <c r="HE109" s="2"/>
      <c r="HF109" s="3"/>
      <c r="HG109" s="4">
        <v>38378</v>
      </c>
      <c r="HH109" s="4">
        <v>17700</v>
      </c>
      <c r="HI109" s="4"/>
      <c r="HJ109" s="4">
        <v>24956</v>
      </c>
      <c r="HK109" s="4"/>
      <c r="HL109" s="4">
        <v>11090</v>
      </c>
      <c r="HM109" s="4">
        <v>22222</v>
      </c>
      <c r="HN109" s="4">
        <v>20101</v>
      </c>
      <c r="HO109" s="4"/>
      <c r="HP109" s="4"/>
      <c r="HQ109" s="4"/>
      <c r="HR109" s="4">
        <v>12890</v>
      </c>
      <c r="HS109" s="4"/>
      <c r="HT109" s="10"/>
      <c r="HU109" s="10"/>
      <c r="HV109" s="4"/>
      <c r="HW109" s="4">
        <v>19385</v>
      </c>
      <c r="HX109" s="4"/>
      <c r="HY109" s="4">
        <v>15931</v>
      </c>
      <c r="HZ109" s="4"/>
      <c r="IA109" s="4">
        <v>7460</v>
      </c>
      <c r="IB109" s="4">
        <v>7460</v>
      </c>
      <c r="IC109" s="4"/>
      <c r="ID109" s="10"/>
      <c r="IE109" s="4"/>
      <c r="IF109" s="10"/>
      <c r="IG109" s="4">
        <v>18869</v>
      </c>
      <c r="IH109" s="4"/>
      <c r="II109" s="4"/>
      <c r="IJ109" s="4"/>
      <c r="IK109" s="4"/>
      <c r="IL109" s="4">
        <v>17660</v>
      </c>
      <c r="IM109" s="4">
        <v>16322</v>
      </c>
      <c r="IN109" s="4">
        <v>16010</v>
      </c>
      <c r="IO109" s="4">
        <v>19795</v>
      </c>
      <c r="IP109" s="4">
        <v>18539</v>
      </c>
      <c r="IQ109" s="4"/>
      <c r="IR109" s="4">
        <v>16163</v>
      </c>
      <c r="IS109" s="4">
        <v>8883</v>
      </c>
      <c r="IT109" s="10"/>
      <c r="IU109" s="4"/>
      <c r="IV109" s="4">
        <v>12290</v>
      </c>
      <c r="IW109" s="4"/>
      <c r="IX109" s="10"/>
      <c r="IY109" s="4"/>
      <c r="IZ109" s="4">
        <v>22218</v>
      </c>
      <c r="JA109" s="4">
        <v>17486</v>
      </c>
      <c r="JB109" s="4">
        <v>11400</v>
      </c>
      <c r="JC109" s="4"/>
      <c r="JD109" s="4"/>
      <c r="JE109" s="4">
        <v>26923</v>
      </c>
      <c r="JF109" s="10"/>
      <c r="JG109" s="10"/>
      <c r="JH109" s="4">
        <v>12103</v>
      </c>
      <c r="JI109" s="4"/>
      <c r="JJ109" s="4"/>
      <c r="JK109" s="4"/>
      <c r="JL109" s="4"/>
      <c r="JM109" s="4"/>
      <c r="JN109" s="10"/>
      <c r="JO109" s="10"/>
      <c r="JP109" s="4"/>
      <c r="JQ109" s="4"/>
      <c r="JR109" s="4">
        <v>9959</v>
      </c>
      <c r="JS109" s="4">
        <v>15120</v>
      </c>
      <c r="JT109" s="4"/>
      <c r="JU109" s="10"/>
      <c r="JV109" s="4"/>
      <c r="JW109" s="4">
        <v>20055</v>
      </c>
      <c r="JX109" s="4">
        <v>24412</v>
      </c>
      <c r="JY109" s="4"/>
      <c r="JZ109" s="4"/>
      <c r="KA109" s="4"/>
      <c r="KB109" s="4">
        <v>9130</v>
      </c>
      <c r="KC109" s="4">
        <v>25635</v>
      </c>
      <c r="KD109" s="10"/>
      <c r="KE109" s="10"/>
      <c r="KF109" s="10"/>
      <c r="KG109" s="4"/>
      <c r="KH109" s="10"/>
      <c r="KI109" s="10"/>
      <c r="KJ109" s="10"/>
      <c r="KK109" s="10"/>
      <c r="KL109" s="4"/>
      <c r="KM109" s="10"/>
      <c r="KN109" s="4">
        <v>9233</v>
      </c>
      <c r="KO109" s="4"/>
      <c r="KP109" s="4">
        <v>13077</v>
      </c>
      <c r="KQ109" s="4">
        <v>14317</v>
      </c>
      <c r="KR109" s="10"/>
      <c r="KS109" s="4"/>
      <c r="KT109" s="4"/>
      <c r="KU109" s="4"/>
      <c r="KV109" s="4"/>
      <c r="KW109" s="4"/>
      <c r="KX109" s="18"/>
      <c r="KY109" s="4"/>
      <c r="KZ109" s="77">
        <f t="shared" si="80"/>
        <v>3.4539271816271866E-2</v>
      </c>
      <c r="LA109" s="8">
        <f t="shared" si="97"/>
        <v>573172</v>
      </c>
      <c r="LB109" s="2"/>
      <c r="LC109" s="43"/>
      <c r="LD109" s="1">
        <v>2970</v>
      </c>
      <c r="LE109" s="1">
        <v>8926</v>
      </c>
      <c r="LF109" s="1">
        <v>10115</v>
      </c>
      <c r="LG109" s="1">
        <v>16018</v>
      </c>
      <c r="LI109" s="1">
        <v>6120</v>
      </c>
      <c r="LL109" s="1">
        <v>11241</v>
      </c>
      <c r="LM109" s="1">
        <v>12618</v>
      </c>
      <c r="LN109" s="1">
        <v>5040</v>
      </c>
      <c r="LR109" s="1">
        <v>2913</v>
      </c>
      <c r="LT109" s="1">
        <v>11260</v>
      </c>
      <c r="LY109" s="1">
        <v>6801</v>
      </c>
      <c r="LZ109" s="1">
        <v>8829</v>
      </c>
      <c r="MD109" s="1">
        <v>15122</v>
      </c>
      <c r="ME109" s="1">
        <v>9839</v>
      </c>
      <c r="MF109" s="1">
        <v>7494</v>
      </c>
      <c r="MG109" s="1">
        <v>3900</v>
      </c>
      <c r="MI109" s="1">
        <v>18369</v>
      </c>
      <c r="MM109" s="1">
        <v>6683</v>
      </c>
      <c r="MN109" s="1">
        <v>6639</v>
      </c>
      <c r="MO109" s="172"/>
      <c r="MQ109" s="1">
        <v>7560</v>
      </c>
      <c r="MT109" s="1">
        <v>14486</v>
      </c>
      <c r="MU109" s="1">
        <v>9457</v>
      </c>
      <c r="MV109" s="1">
        <v>19455</v>
      </c>
      <c r="MX109" s="1">
        <v>15219</v>
      </c>
      <c r="NC109" s="1">
        <v>16097</v>
      </c>
      <c r="ND109" s="1">
        <v>9343</v>
      </c>
      <c r="NF109" s="1">
        <v>13683</v>
      </c>
      <c r="NG109" s="1">
        <v>18729</v>
      </c>
      <c r="NM109" s="1">
        <v>5945</v>
      </c>
      <c r="NN109" s="1">
        <v>11013</v>
      </c>
      <c r="NO109" s="77"/>
      <c r="NP109" s="63"/>
      <c r="NQ109"/>
      <c r="NR109" s="77">
        <f t="shared" si="81"/>
        <v>-1.3325065802794089E-2</v>
      </c>
      <c r="NS109" s="8">
        <f t="shared" si="84"/>
        <v>311884</v>
      </c>
      <c r="NT109" s="2"/>
      <c r="NU109" s="7"/>
      <c r="NV109" s="4">
        <v>525</v>
      </c>
      <c r="NW109" s="4"/>
      <c r="NX109" s="4"/>
      <c r="NY109" s="4"/>
      <c r="NZ109" s="4"/>
      <c r="OA109" s="4">
        <v>12659</v>
      </c>
      <c r="OB109" s="4">
        <v>12439</v>
      </c>
      <c r="OC109" s="4"/>
      <c r="OD109" s="4"/>
      <c r="OE109" s="77">
        <f t="shared" si="82"/>
        <v>-4.256034676033181E-2</v>
      </c>
      <c r="OF109" s="8">
        <f t="shared" si="71"/>
        <v>25623</v>
      </c>
      <c r="OG109" s="2"/>
      <c r="OJ109" s="40"/>
      <c r="OK109" s="40"/>
      <c r="OL109" s="40"/>
      <c r="OM109" s="40"/>
      <c r="ON109" s="40"/>
      <c r="OO109" s="40"/>
      <c r="OQ109" s="40"/>
      <c r="OR109" s="77">
        <f t="shared" si="83"/>
        <v>-1</v>
      </c>
      <c r="OS109" s="8">
        <f t="shared" si="85"/>
        <v>0</v>
      </c>
      <c r="OT109" s="37"/>
      <c r="OU109" s="126">
        <f t="shared" ref="OU109:OU144" si="98">IF(A109="","",AB109+CZ109+OS109)</f>
        <v>868246</v>
      </c>
      <c r="OV109" s="71">
        <f t="shared" si="73"/>
        <v>2.9644896874940707E-2</v>
      </c>
      <c r="OW109" s="139">
        <f>IF(A109="","",SUM(Z$17:Z109))</f>
        <v>20000</v>
      </c>
      <c r="OX109" s="139">
        <f t="shared" si="87"/>
        <v>913869</v>
      </c>
      <c r="OY109" s="132">
        <f t="shared" si="88"/>
        <v>0.28066576138365362</v>
      </c>
      <c r="OZ109" s="140">
        <f t="shared" ref="OZ109:OZ144" si="99">IF(A109="","",HD109+LA109+NS109+OF109)</f>
        <v>1073016</v>
      </c>
      <c r="PA109" s="84">
        <f t="shared" si="77"/>
        <v>7.3706890481756351E-3</v>
      </c>
      <c r="PB109" s="130">
        <f>IF(A109="","",SUM(HB$17:HB109)+SUM(KY$17:KY109))</f>
        <v>115756.47</v>
      </c>
      <c r="PC109" s="131">
        <f t="shared" si="89"/>
        <v>851265.47</v>
      </c>
      <c r="PD109" s="132">
        <f t="shared" si="90"/>
        <v>0.28877881248287335</v>
      </c>
      <c r="PE109" s="133">
        <f t="shared" ref="PE109:PE144" si="100">IF(A109="","",HD109+LA109)</f>
        <v>735509</v>
      </c>
      <c r="PF109" s="84">
        <f t="shared" si="69"/>
        <v>1.8277546804890441E-2</v>
      </c>
      <c r="PG109" s="133">
        <f t="shared" ref="PG109:PG144" si="101">IF(A109="","",AB109+CZ109+NS109+OF109+OS109)</f>
        <v>1205753</v>
      </c>
      <c r="PH109" s="84" t="str">
        <f t="shared" si="70"/>
        <v/>
      </c>
      <c r="PI109" s="135">
        <f t="shared" si="91"/>
        <v>1941262</v>
      </c>
      <c r="PJ109" s="136">
        <f t="shared" si="74"/>
        <v>1.7212731206505089E-2</v>
      </c>
      <c r="PK109" s="123">
        <f t="shared" si="72"/>
        <v>0.11965804571348812</v>
      </c>
      <c r="PL109" s="137">
        <f t="shared" si="92"/>
        <v>135756.47</v>
      </c>
      <c r="PM109" s="9">
        <f t="shared" si="93"/>
        <v>1765134.47</v>
      </c>
      <c r="PN109" s="138">
        <f t="shared" si="94"/>
        <v>0.28456562429499821</v>
      </c>
      <c r="PO109" s="86">
        <f>IF(PI109="","",MAX(PI$15:PI109))</f>
        <v>1941262</v>
      </c>
      <c r="PP109" s="113">
        <f t="shared" si="75"/>
        <v>0</v>
      </c>
      <c r="PQ109" s="41"/>
      <c r="PR109" s="302"/>
    </row>
    <row r="110" spans="1:434" s="32" customFormat="1" ht="15" customHeight="1" x14ac:dyDescent="0.45">
      <c r="A110" s="193">
        <v>45719</v>
      </c>
      <c r="C110" s="4">
        <f>104069+124</f>
        <v>104193</v>
      </c>
      <c r="E110" s="4">
        <v>22881</v>
      </c>
      <c r="H110" s="1">
        <v>10092</v>
      </c>
      <c r="I110" s="4">
        <v>30436</v>
      </c>
      <c r="J110" s="4">
        <v>10584</v>
      </c>
      <c r="K110" s="4">
        <v>15256</v>
      </c>
      <c r="L110" s="4">
        <v>14232</v>
      </c>
      <c r="M110" s="4">
        <v>11721</v>
      </c>
      <c r="Q110" s="4">
        <v>6864</v>
      </c>
      <c r="S110" s="4">
        <v>23076</v>
      </c>
      <c r="T110" s="4">
        <v>6892</v>
      </c>
      <c r="W110" s="4">
        <v>30841</v>
      </c>
      <c r="AA110" s="77">
        <f t="shared" si="78"/>
        <v>-3.433845988239885E-2</v>
      </c>
      <c r="AB110" s="213">
        <f t="shared" si="95"/>
        <v>287068</v>
      </c>
      <c r="AC110" s="216"/>
      <c r="AE110" s="4">
        <v>193402</v>
      </c>
      <c r="AH110" s="4">
        <v>15449</v>
      </c>
      <c r="AI110" s="1">
        <v>11641</v>
      </c>
      <c r="AJ110" s="4">
        <v>21473</v>
      </c>
      <c r="AK110" s="4">
        <v>20573</v>
      </c>
      <c r="AL110" s="4">
        <v>20794</v>
      </c>
      <c r="AN110" s="1">
        <v>6202</v>
      </c>
      <c r="AO110" s="4"/>
      <c r="AP110" s="1"/>
      <c r="AQ110" s="1"/>
      <c r="AR110" s="1">
        <v>7633</v>
      </c>
      <c r="AV110" s="1">
        <v>3066</v>
      </c>
      <c r="AW110" s="1"/>
      <c r="BB110" s="4"/>
      <c r="BC110" s="4"/>
      <c r="BD110" s="1"/>
      <c r="BE110" s="1">
        <v>13332</v>
      </c>
      <c r="BF110" s="1">
        <v>15039</v>
      </c>
      <c r="BG110" s="1">
        <v>7042</v>
      </c>
      <c r="BI110" s="1">
        <v>18656</v>
      </c>
      <c r="BJ110" s="1">
        <v>17474</v>
      </c>
      <c r="BM110" s="1">
        <v>15097</v>
      </c>
      <c r="BN110" s="1">
        <v>10897</v>
      </c>
      <c r="BO110" s="1">
        <v>12790</v>
      </c>
      <c r="BR110" s="1">
        <v>11171</v>
      </c>
      <c r="BS110" s="1">
        <v>13205</v>
      </c>
      <c r="BX110" s="1">
        <v>6506</v>
      </c>
      <c r="BY110" s="1">
        <v>7013</v>
      </c>
      <c r="BZ110" s="1">
        <v>7993</v>
      </c>
      <c r="CG110" s="1">
        <v>22224</v>
      </c>
      <c r="CH110" s="1">
        <v>21054</v>
      </c>
      <c r="CI110" s="1">
        <v>8054</v>
      </c>
      <c r="CM110" s="1">
        <v>19230</v>
      </c>
      <c r="CO110" s="1"/>
      <c r="CQ110" s="1"/>
      <c r="CS110" s="1">
        <v>9702</v>
      </c>
      <c r="CT110" s="1"/>
      <c r="CU110" s="1">
        <v>13366</v>
      </c>
      <c r="CV110" s="1">
        <v>15131</v>
      </c>
      <c r="CY110" s="77">
        <f t="shared" si="76"/>
        <v>-1.0089847102299595E-2</v>
      </c>
      <c r="CZ110" s="213">
        <f t="shared" si="96"/>
        <v>565209</v>
      </c>
      <c r="DA110" s="216"/>
      <c r="DD110" s="1">
        <v>16353</v>
      </c>
      <c r="DE110" s="1">
        <v>11479</v>
      </c>
      <c r="DF110" s="1">
        <v>12873</v>
      </c>
      <c r="DG110" s="1">
        <v>11484</v>
      </c>
      <c r="DH110" s="4">
        <v>75081</v>
      </c>
      <c r="DJ110" s="4">
        <v>79077</v>
      </c>
      <c r="DK110" s="1">
        <v>8839</v>
      </c>
      <c r="DL110" s="1">
        <v>15144</v>
      </c>
      <c r="DM110" s="1">
        <v>18774</v>
      </c>
      <c r="DN110" s="1">
        <v>14549</v>
      </c>
      <c r="DO110" s="1">
        <v>9951</v>
      </c>
      <c r="DP110" s="1">
        <v>19816</v>
      </c>
      <c r="DQ110" s="1">
        <v>15394</v>
      </c>
      <c r="DR110" s="1">
        <v>16378</v>
      </c>
      <c r="DS110" s="1">
        <v>9663</v>
      </c>
      <c r="DT110" s="1"/>
      <c r="DU110" s="1">
        <v>13771</v>
      </c>
      <c r="DX110" s="216"/>
      <c r="DZ110" s="4">
        <v>621</v>
      </c>
      <c r="EE110" s="4">
        <v>12885</v>
      </c>
      <c r="EF110" s="4">
        <v>12523</v>
      </c>
      <c r="EK110" s="417"/>
      <c r="EN110" s="1"/>
      <c r="EO110" s="216"/>
      <c r="EQ110" s="468" t="s">
        <v>1</v>
      </c>
      <c r="ER110"/>
      <c r="EX110" s="4">
        <v>7517</v>
      </c>
      <c r="FR110" s="1">
        <v>10092</v>
      </c>
      <c r="FT110" s="4">
        <v>30436</v>
      </c>
      <c r="FU110" s="4">
        <v>10584</v>
      </c>
      <c r="FW110" s="4">
        <v>15256</v>
      </c>
      <c r="FY110" s="4">
        <v>14232</v>
      </c>
      <c r="GD110" s="4">
        <v>11721</v>
      </c>
      <c r="GP110" s="4">
        <v>6864</v>
      </c>
      <c r="GR110" s="4">
        <v>13486</v>
      </c>
      <c r="GT110" s="4">
        <v>23076</v>
      </c>
      <c r="GV110" s="4">
        <v>6892</v>
      </c>
      <c r="HC110" s="77">
        <f t="shared" si="79"/>
        <v>-7.5035266143885865E-2</v>
      </c>
      <c r="HD110" s="213">
        <f t="shared" si="86"/>
        <v>150156</v>
      </c>
      <c r="HE110" s="216"/>
      <c r="HG110" s="4">
        <v>37368</v>
      </c>
      <c r="HH110" s="4">
        <v>15449</v>
      </c>
      <c r="HI110" s="1"/>
      <c r="HJ110" s="4">
        <v>21473</v>
      </c>
      <c r="HK110" s="1"/>
      <c r="HL110" s="4">
        <v>10417</v>
      </c>
      <c r="HM110" s="4">
        <v>20573</v>
      </c>
      <c r="HN110" s="4">
        <v>20794</v>
      </c>
      <c r="HO110" s="1"/>
      <c r="HP110" s="1"/>
      <c r="HQ110" s="1"/>
      <c r="HR110" s="4">
        <v>13194</v>
      </c>
      <c r="HS110" s="4"/>
      <c r="HT110" s="1"/>
      <c r="HU110" s="1"/>
      <c r="HV110" s="1"/>
      <c r="HW110" s="1">
        <v>20565</v>
      </c>
      <c r="HX110" s="1"/>
      <c r="HY110" s="4">
        <v>15040</v>
      </c>
      <c r="HZ110" s="1"/>
      <c r="IA110" s="1"/>
      <c r="IB110" s="1">
        <v>7633</v>
      </c>
      <c r="IC110" s="1"/>
      <c r="ID110" s="1"/>
      <c r="IE110" s="1"/>
      <c r="IF110" s="1"/>
      <c r="IG110" s="1">
        <v>18039</v>
      </c>
      <c r="IH110" s="1"/>
      <c r="II110" s="1"/>
      <c r="IJ110" s="1"/>
      <c r="IK110" s="1"/>
      <c r="IL110" s="1">
        <v>17366</v>
      </c>
      <c r="IM110" s="1">
        <v>13332</v>
      </c>
      <c r="IN110" s="1">
        <v>15039</v>
      </c>
      <c r="IO110" s="1">
        <v>18656</v>
      </c>
      <c r="IP110" s="1">
        <v>17474</v>
      </c>
      <c r="IQ110" s="1"/>
      <c r="IR110" s="1">
        <v>15097</v>
      </c>
      <c r="IS110" s="1">
        <v>10897</v>
      </c>
      <c r="IT110" s="1"/>
      <c r="IU110" s="1"/>
      <c r="IV110" s="1">
        <v>12790</v>
      </c>
      <c r="IW110" s="1"/>
      <c r="IX110" s="1"/>
      <c r="IY110" s="1"/>
      <c r="IZ110" s="1">
        <v>18018</v>
      </c>
      <c r="JA110" s="1">
        <v>17738</v>
      </c>
      <c r="JB110" s="1">
        <v>11329</v>
      </c>
      <c r="JC110" s="1"/>
      <c r="JD110" s="1"/>
      <c r="JE110" s="1">
        <v>22622</v>
      </c>
      <c r="JF110" s="1"/>
      <c r="JG110" s="1"/>
      <c r="JH110" s="1">
        <v>13205</v>
      </c>
      <c r="JI110" s="1"/>
      <c r="JJ110" s="1"/>
      <c r="JK110" s="1"/>
      <c r="JL110" s="1"/>
      <c r="JM110" s="1"/>
      <c r="JN110" s="1"/>
      <c r="JO110" s="1"/>
      <c r="JP110" s="1"/>
      <c r="JQ110" s="1"/>
      <c r="JR110" s="1">
        <v>10519</v>
      </c>
      <c r="JS110" s="1">
        <v>15986</v>
      </c>
      <c r="JT110" s="1"/>
      <c r="JU110" s="1"/>
      <c r="JV110" s="1"/>
      <c r="JW110" s="1">
        <v>22224</v>
      </c>
      <c r="JX110" s="1">
        <v>21054</v>
      </c>
      <c r="JY110" s="1"/>
      <c r="JZ110" s="1"/>
      <c r="KA110" s="1"/>
      <c r="KB110" s="1">
        <v>8054</v>
      </c>
      <c r="KC110" s="1">
        <v>27077</v>
      </c>
      <c r="KD110" s="1"/>
      <c r="KE110" s="1"/>
      <c r="KF110" s="1"/>
      <c r="KG110" s="1"/>
      <c r="KH110" s="1"/>
      <c r="KI110" s="1"/>
      <c r="KJ110" s="1"/>
      <c r="KK110" s="1"/>
      <c r="KL110" s="1"/>
      <c r="KM110" s="1"/>
      <c r="KN110" s="1">
        <v>9702</v>
      </c>
      <c r="KO110" s="1"/>
      <c r="KP110" s="1">
        <v>13366</v>
      </c>
      <c r="KQ110" s="1">
        <v>15131</v>
      </c>
      <c r="KR110" s="1"/>
      <c r="KS110" s="1"/>
      <c r="KT110" s="1"/>
      <c r="KU110" s="1">
        <v>8483</v>
      </c>
      <c r="KZ110" s="77">
        <f t="shared" si="80"/>
        <v>-3.0476017670088559E-2</v>
      </c>
      <c r="LA110" s="8">
        <f t="shared" si="97"/>
        <v>555704</v>
      </c>
      <c r="LB110" s="216"/>
      <c r="LD110" s="1">
        <v>3914</v>
      </c>
      <c r="LE110" s="1">
        <v>8936</v>
      </c>
      <c r="LF110" s="1">
        <v>11641</v>
      </c>
      <c r="LG110" s="1">
        <v>16353</v>
      </c>
      <c r="LH110" s="1"/>
      <c r="LI110" s="1">
        <v>6202</v>
      </c>
      <c r="LJ110" s="1"/>
      <c r="LK110" s="1"/>
      <c r="LL110" s="1">
        <v>11479</v>
      </c>
      <c r="LM110" s="1">
        <v>12873</v>
      </c>
      <c r="LN110" s="1">
        <v>5346</v>
      </c>
      <c r="LO110" s="1"/>
      <c r="LP110" s="1"/>
      <c r="LQ110" s="1"/>
      <c r="LR110" s="1">
        <v>3066</v>
      </c>
      <c r="LS110" s="1"/>
      <c r="LT110" s="1">
        <v>11484</v>
      </c>
      <c r="LU110" s="1"/>
      <c r="LV110" s="1"/>
      <c r="LW110" s="1"/>
      <c r="LX110" s="1"/>
      <c r="LY110" s="1">
        <v>7042</v>
      </c>
      <c r="LZ110" s="1">
        <v>8839</v>
      </c>
      <c r="MA110" s="1"/>
      <c r="MB110" s="1"/>
      <c r="MC110" s="1"/>
      <c r="MD110" s="1">
        <v>15144</v>
      </c>
      <c r="ME110" s="1">
        <v>11171</v>
      </c>
      <c r="MF110" s="1">
        <v>7602</v>
      </c>
      <c r="MG110" s="1">
        <v>3876</v>
      </c>
      <c r="MH110" s="1"/>
      <c r="MI110" s="1">
        <v>18774</v>
      </c>
      <c r="MJ110" s="1"/>
      <c r="MK110" s="1"/>
      <c r="ML110" s="1"/>
      <c r="MM110" s="1">
        <v>6506</v>
      </c>
      <c r="MN110" s="1">
        <v>7013</v>
      </c>
      <c r="MO110" s="1"/>
      <c r="MP110" s="1"/>
      <c r="MQ110" s="1">
        <v>7993</v>
      </c>
      <c r="MR110" s="1"/>
      <c r="MS110" s="1"/>
      <c r="MT110" s="1">
        <v>14549</v>
      </c>
      <c r="MU110" s="1">
        <v>9951</v>
      </c>
      <c r="MV110" s="1">
        <v>19816</v>
      </c>
      <c r="MW110" s="1"/>
      <c r="MX110" s="1">
        <v>15394</v>
      </c>
      <c r="MY110" s="1"/>
      <c r="MZ110" s="1"/>
      <c r="NA110" s="1"/>
      <c r="NB110" s="1"/>
      <c r="NC110" s="1">
        <v>16378</v>
      </c>
      <c r="ND110" s="1">
        <v>9663</v>
      </c>
      <c r="NE110" s="1"/>
      <c r="NF110" s="1">
        <v>13771</v>
      </c>
      <c r="NG110" s="1">
        <v>19230</v>
      </c>
      <c r="NH110" s="1"/>
      <c r="NI110" s="1"/>
      <c r="NJ110" s="1"/>
      <c r="NK110" s="1"/>
      <c r="NL110" s="1"/>
      <c r="NM110" s="1">
        <v>6076</v>
      </c>
      <c r="NN110" s="1">
        <v>11639</v>
      </c>
      <c r="NO110" s="1"/>
      <c r="NP110" s="1"/>
      <c r="NQ110" s="1"/>
      <c r="NR110" s="77">
        <f t="shared" si="81"/>
        <v>3.1540572777058136E-2</v>
      </c>
      <c r="NS110" s="8">
        <f t="shared" si="84"/>
        <v>321721</v>
      </c>
      <c r="NT110" s="216"/>
      <c r="NV110" s="4">
        <v>621</v>
      </c>
      <c r="OA110" s="4">
        <v>12885</v>
      </c>
      <c r="OB110" s="4">
        <v>12523</v>
      </c>
      <c r="OE110" s="77">
        <f t="shared" si="82"/>
        <v>1.5845139132810365E-2</v>
      </c>
      <c r="OF110" s="213">
        <f t="shared" si="71"/>
        <v>26029</v>
      </c>
      <c r="OS110" s="213">
        <f t="shared" si="85"/>
        <v>0</v>
      </c>
      <c r="OT110" s="37"/>
      <c r="OU110" s="126">
        <f t="shared" si="98"/>
        <v>852277</v>
      </c>
      <c r="OV110" s="71">
        <f t="shared" si="73"/>
        <v>-1.8392252886854647E-2</v>
      </c>
      <c r="OW110" s="139">
        <f>IF(A110="","",SUM(Z$17:Z110))</f>
        <v>20000</v>
      </c>
      <c r="OX110" s="139">
        <f t="shared" si="87"/>
        <v>898306</v>
      </c>
      <c r="OY110" s="132">
        <f t="shared" si="88"/>
        <v>0.25885628842372849</v>
      </c>
      <c r="OZ110" s="140">
        <f t="shared" si="99"/>
        <v>1053610</v>
      </c>
      <c r="PA110" s="84">
        <f t="shared" si="77"/>
        <v>-1.808547123248861E-2</v>
      </c>
      <c r="PB110" s="130">
        <f>IF(A110="","",SUM(HB$17:HB110)+SUM(KY$17:KY110))</f>
        <v>115756.47</v>
      </c>
      <c r="PC110" s="131">
        <f t="shared" si="89"/>
        <v>821616.47</v>
      </c>
      <c r="PD110" s="132">
        <f t="shared" si="90"/>
        <v>0.24389151896760281</v>
      </c>
      <c r="PE110" s="133">
        <f t="shared" si="100"/>
        <v>705860</v>
      </c>
      <c r="PF110" s="84">
        <f t="shared" ref="PF110:PF141" si="102">IF(A110="","",(PE110-PE109)/PE109)</f>
        <v>-4.0310859554403819E-2</v>
      </c>
      <c r="PG110" s="133">
        <f t="shared" si="101"/>
        <v>1200027</v>
      </c>
      <c r="PH110" s="84" t="str">
        <f t="shared" ref="PH110:PH141" si="103">IF(P110="","",(PG110-PG109)/PG109)</f>
        <v/>
      </c>
      <c r="PI110" s="135">
        <f t="shared" si="91"/>
        <v>1905887</v>
      </c>
      <c r="PJ110" s="136">
        <f t="shared" ref="PJ110:PJ144" si="104">IF(PI110="","",(PI110-PI109)/PI109)</f>
        <v>-1.8222681946074255E-2</v>
      </c>
      <c r="PK110" s="123">
        <f t="shared" ref="PK110:PK144" si="105">IF(PI110="","",(PI110-PI98)/PI98)</f>
        <v>9.439139961780163E-2</v>
      </c>
      <c r="PL110" s="137">
        <f t="shared" si="92"/>
        <v>135756.47</v>
      </c>
      <c r="PM110" s="9">
        <f t="shared" si="93"/>
        <v>1719922.47</v>
      </c>
      <c r="PN110" s="138">
        <f t="shared" si="94"/>
        <v>0.25166287269578125</v>
      </c>
      <c r="PO110" s="86">
        <f>IF(PI110="","",MAX(PI$15:PI110))</f>
        <v>1941262</v>
      </c>
      <c r="PP110" s="113">
        <f t="shared" ref="PP110:PP144" si="106">IF(PI110="","",(PI110-PO110)/PI110)</f>
        <v>-1.8560911533579902E-2</v>
      </c>
      <c r="PR110" s="309"/>
    </row>
    <row r="111" spans="1:434" s="32" customFormat="1" ht="15" customHeight="1" x14ac:dyDescent="0.45">
      <c r="A111" s="193">
        <v>45785</v>
      </c>
      <c r="C111" s="4">
        <v>105282</v>
      </c>
      <c r="E111" s="4">
        <v>21979</v>
      </c>
      <c r="H111" s="1">
        <v>10633</v>
      </c>
      <c r="I111" s="4">
        <v>31920</v>
      </c>
      <c r="J111" s="4">
        <v>13815</v>
      </c>
      <c r="K111" s="4">
        <v>14356</v>
      </c>
      <c r="L111" s="4">
        <v>13878</v>
      </c>
      <c r="M111" s="4">
        <v>13134</v>
      </c>
      <c r="Q111" s="4">
        <v>6996</v>
      </c>
      <c r="S111" s="4">
        <v>24093</v>
      </c>
      <c r="T111" s="4">
        <v>4914</v>
      </c>
      <c r="W111" s="4">
        <v>29573</v>
      </c>
      <c r="AA111" s="77">
        <f t="shared" si="78"/>
        <v>1.220965067510137E-2</v>
      </c>
      <c r="AB111" s="213">
        <f t="shared" si="95"/>
        <v>290573</v>
      </c>
      <c r="AC111" s="216"/>
      <c r="AE111" s="4">
        <v>194707</v>
      </c>
      <c r="AH111" s="1">
        <v>12745</v>
      </c>
      <c r="AI111" s="1">
        <v>10055</v>
      </c>
      <c r="AJ111" s="1">
        <v>19991</v>
      </c>
      <c r="AK111" s="1">
        <v>19697</v>
      </c>
      <c r="AL111" s="1">
        <v>18598</v>
      </c>
      <c r="AN111" s="1">
        <v>5877</v>
      </c>
      <c r="AO111" s="1">
        <v>8324</v>
      </c>
      <c r="AP111" s="1"/>
      <c r="AQ111" s="1"/>
      <c r="AR111" s="1">
        <v>11014</v>
      </c>
      <c r="AV111" s="1">
        <v>3301</v>
      </c>
      <c r="AW111" s="1"/>
      <c r="BB111" s="4"/>
      <c r="BC111" s="4"/>
      <c r="BD111" s="1"/>
      <c r="BE111" s="1">
        <v>12291</v>
      </c>
      <c r="BF111" s="1">
        <v>19658</v>
      </c>
      <c r="BG111" s="1">
        <v>6597</v>
      </c>
      <c r="BI111" s="1">
        <v>21619</v>
      </c>
      <c r="BJ111" s="1">
        <v>16436</v>
      </c>
      <c r="BM111" s="1">
        <v>14678</v>
      </c>
      <c r="BN111" s="1">
        <v>3593</v>
      </c>
      <c r="BO111" s="1">
        <v>20010</v>
      </c>
      <c r="BR111" s="1">
        <v>11165</v>
      </c>
      <c r="BS111" s="1">
        <v>13308</v>
      </c>
      <c r="BX111" s="1">
        <v>6363</v>
      </c>
      <c r="BY111" s="1">
        <v>6353</v>
      </c>
      <c r="BZ111" s="1">
        <v>8119</v>
      </c>
      <c r="CG111" s="1">
        <v>24921</v>
      </c>
      <c r="CH111" s="1">
        <v>15556</v>
      </c>
      <c r="CI111" s="1">
        <v>7883</v>
      </c>
      <c r="CM111" s="1">
        <v>20079</v>
      </c>
      <c r="CO111" s="1"/>
      <c r="CQ111" s="1">
        <v>11091</v>
      </c>
      <c r="CS111" s="1">
        <v>8504</v>
      </c>
      <c r="CT111" s="1"/>
      <c r="CU111" s="1">
        <v>12914</v>
      </c>
      <c r="CV111" s="1">
        <v>15350</v>
      </c>
      <c r="CY111" s="77">
        <f t="shared" si="76"/>
        <v>2.7579178675498799E-2</v>
      </c>
      <c r="CZ111" s="213">
        <f t="shared" si="96"/>
        <v>580797</v>
      </c>
      <c r="DA111" s="216"/>
      <c r="DD111" s="1">
        <v>16183</v>
      </c>
      <c r="DE111" s="1">
        <v>11432</v>
      </c>
      <c r="DF111" s="1">
        <v>12740</v>
      </c>
      <c r="DG111" s="1">
        <v>11330</v>
      </c>
      <c r="DH111" s="4">
        <v>72581</v>
      </c>
      <c r="DJ111" s="4">
        <v>79747</v>
      </c>
      <c r="DK111" s="1">
        <v>10104</v>
      </c>
      <c r="DL111" s="1">
        <v>15138</v>
      </c>
      <c r="DM111" s="1">
        <v>18584</v>
      </c>
      <c r="DN111" s="1">
        <v>14577</v>
      </c>
      <c r="DO111" s="1">
        <v>9515</v>
      </c>
      <c r="DP111" s="1">
        <v>19856</v>
      </c>
      <c r="DQ111" s="1">
        <v>15404</v>
      </c>
      <c r="DR111" s="1">
        <v>16229</v>
      </c>
      <c r="DS111" s="1">
        <v>9206</v>
      </c>
      <c r="DT111" s="1"/>
      <c r="DU111" s="1">
        <v>13774</v>
      </c>
      <c r="DX111" s="216"/>
      <c r="DZ111" s="32">
        <v>878</v>
      </c>
      <c r="EE111" s="4">
        <v>12763</v>
      </c>
      <c r="EF111" s="32">
        <v>12522</v>
      </c>
      <c r="EK111" s="417"/>
      <c r="EN111" s="1"/>
      <c r="EO111" s="216"/>
      <c r="EQ111" s="468" t="s">
        <v>1</v>
      </c>
      <c r="ER111"/>
      <c r="EX111" s="4">
        <v>7059</v>
      </c>
      <c r="FR111" s="1">
        <v>10633</v>
      </c>
      <c r="FT111" s="4">
        <v>31920</v>
      </c>
      <c r="FU111" s="4">
        <v>13815</v>
      </c>
      <c r="FW111" s="4">
        <v>14356</v>
      </c>
      <c r="FY111" s="4">
        <v>13878</v>
      </c>
      <c r="GD111" s="4">
        <v>13134</v>
      </c>
      <c r="GP111" s="4">
        <v>6996</v>
      </c>
      <c r="GR111" s="4">
        <v>6453</v>
      </c>
      <c r="GT111" s="4">
        <v>24093</v>
      </c>
      <c r="GV111" s="4">
        <v>4914</v>
      </c>
      <c r="HC111" s="77">
        <f t="shared" si="79"/>
        <v>-1.9346546258557768E-2</v>
      </c>
      <c r="HD111" s="213">
        <f t="shared" si="86"/>
        <v>147251</v>
      </c>
      <c r="HE111" s="216"/>
      <c r="HG111" s="1">
        <v>30548</v>
      </c>
      <c r="HH111" s="1">
        <v>12745</v>
      </c>
      <c r="HI111" s="1"/>
      <c r="HJ111" s="1">
        <v>19991</v>
      </c>
      <c r="HK111" s="1"/>
      <c r="HL111" s="1">
        <v>10660</v>
      </c>
      <c r="HM111" s="1">
        <v>19697</v>
      </c>
      <c r="HN111" s="1">
        <v>18598</v>
      </c>
      <c r="HO111" s="1"/>
      <c r="HP111" s="1"/>
      <c r="HQ111" s="1"/>
      <c r="HR111" s="1"/>
      <c r="HS111" s="1">
        <v>8324</v>
      </c>
      <c r="HT111" s="1"/>
      <c r="HU111" s="1"/>
      <c r="HV111" s="1"/>
      <c r="HW111" s="1">
        <v>14080</v>
      </c>
      <c r="HX111" s="1"/>
      <c r="HY111" s="1">
        <v>16874</v>
      </c>
      <c r="HZ111" s="1"/>
      <c r="IA111" s="1"/>
      <c r="IB111" s="1">
        <v>11014</v>
      </c>
      <c r="IC111" s="1"/>
      <c r="ID111" s="1"/>
      <c r="IE111" s="1"/>
      <c r="IF111" s="1"/>
      <c r="IG111" s="1">
        <v>16553</v>
      </c>
      <c r="IH111" s="1"/>
      <c r="II111" s="1"/>
      <c r="IJ111" s="1"/>
      <c r="IK111" s="1"/>
      <c r="IL111" s="1">
        <v>13864</v>
      </c>
      <c r="IM111" s="1">
        <v>12291</v>
      </c>
      <c r="IN111" s="1">
        <v>19658</v>
      </c>
      <c r="IO111" s="1">
        <v>21619</v>
      </c>
      <c r="IP111" s="1">
        <v>16436</v>
      </c>
      <c r="IQ111" s="1"/>
      <c r="IR111" s="1">
        <v>14678</v>
      </c>
      <c r="IS111" s="1">
        <v>3593</v>
      </c>
      <c r="IT111" s="1"/>
      <c r="IU111" s="1"/>
      <c r="IV111" s="1">
        <v>20010</v>
      </c>
      <c r="IW111" s="1"/>
      <c r="IX111" s="1"/>
      <c r="IY111" s="1"/>
      <c r="IZ111" s="1">
        <v>18008</v>
      </c>
      <c r="JA111" s="1">
        <v>17281</v>
      </c>
      <c r="JB111" s="1"/>
      <c r="JC111" s="1"/>
      <c r="JD111" s="1"/>
      <c r="JE111" s="1">
        <v>18304</v>
      </c>
      <c r="JF111" s="1"/>
      <c r="JG111" s="1">
        <v>8327</v>
      </c>
      <c r="JH111" s="1">
        <v>13308</v>
      </c>
      <c r="JI111" s="1"/>
      <c r="JJ111" s="1"/>
      <c r="JK111" s="1"/>
      <c r="JL111" s="1"/>
      <c r="JM111" s="1"/>
      <c r="JN111" s="1"/>
      <c r="JO111" s="1"/>
      <c r="JP111" s="1"/>
      <c r="JQ111" s="1"/>
      <c r="JR111" s="1">
        <v>9537</v>
      </c>
      <c r="JS111" s="1">
        <v>16193</v>
      </c>
      <c r="JT111" s="1"/>
      <c r="JU111" s="1"/>
      <c r="JV111" s="1"/>
      <c r="JW111" s="1">
        <v>24921</v>
      </c>
      <c r="JX111" s="1">
        <v>15556</v>
      </c>
      <c r="JY111" s="1"/>
      <c r="JZ111" s="1"/>
      <c r="KA111" s="1"/>
      <c r="KB111" s="1">
        <v>7883</v>
      </c>
      <c r="KC111" s="1">
        <v>26498</v>
      </c>
      <c r="KD111" s="1"/>
      <c r="KE111" s="1"/>
      <c r="KF111" s="1"/>
      <c r="KG111" s="1"/>
      <c r="KH111" s="1"/>
      <c r="KI111" s="1"/>
      <c r="KJ111" s="1"/>
      <c r="KK111" s="1"/>
      <c r="KL111" s="1">
        <v>11091</v>
      </c>
      <c r="KM111" s="1"/>
      <c r="KN111" s="1">
        <v>8504</v>
      </c>
      <c r="KO111" s="1"/>
      <c r="KP111" s="1">
        <v>12914</v>
      </c>
      <c r="KQ111" s="1">
        <v>15350</v>
      </c>
      <c r="KR111" s="1"/>
      <c r="KS111" s="1"/>
      <c r="KT111" s="1"/>
      <c r="KU111" s="1">
        <v>7964</v>
      </c>
      <c r="KZ111" s="77">
        <f t="shared" si="80"/>
        <v>-4.1086621654693865E-2</v>
      </c>
      <c r="LA111" s="8">
        <f t="shared" si="97"/>
        <v>532872</v>
      </c>
      <c r="LB111" s="216"/>
      <c r="LD111" s="1">
        <v>3841</v>
      </c>
      <c r="LE111" s="1">
        <v>8955</v>
      </c>
      <c r="LF111" s="1">
        <v>10055</v>
      </c>
      <c r="LG111" s="1">
        <v>16183</v>
      </c>
      <c r="LH111" s="1"/>
      <c r="LI111" s="1">
        <v>5877</v>
      </c>
      <c r="LJ111" s="1"/>
      <c r="LK111" s="1"/>
      <c r="LL111" s="1">
        <v>11432</v>
      </c>
      <c r="LM111" s="1">
        <v>12740</v>
      </c>
      <c r="LN111" s="1">
        <v>4584</v>
      </c>
      <c r="LO111" s="1"/>
      <c r="LP111" s="1"/>
      <c r="LQ111" s="1"/>
      <c r="LR111" s="1">
        <v>3301</v>
      </c>
      <c r="LS111" s="1"/>
      <c r="LT111" s="1">
        <v>11330</v>
      </c>
      <c r="LU111" s="1"/>
      <c r="LV111" s="1"/>
      <c r="LW111" s="1"/>
      <c r="LX111" s="1"/>
      <c r="LY111" s="1">
        <v>6597</v>
      </c>
      <c r="LZ111" s="1">
        <v>10104</v>
      </c>
      <c r="MA111" s="1"/>
      <c r="MB111" s="1"/>
      <c r="MC111" s="1"/>
      <c r="MD111" s="1">
        <v>15138</v>
      </c>
      <c r="ME111" s="1">
        <v>11165</v>
      </c>
      <c r="MF111" s="1">
        <v>7438</v>
      </c>
      <c r="MG111" s="1"/>
      <c r="MH111" s="1"/>
      <c r="MI111" s="1">
        <v>18584</v>
      </c>
      <c r="MJ111" s="1"/>
      <c r="MK111" s="1"/>
      <c r="ML111" s="1"/>
      <c r="MM111" s="1">
        <v>6363</v>
      </c>
      <c r="MN111" s="1">
        <v>6353</v>
      </c>
      <c r="MO111" s="1"/>
      <c r="MP111" s="1"/>
      <c r="MQ111" s="1">
        <v>8119</v>
      </c>
      <c r="MR111" s="1"/>
      <c r="MS111" s="1"/>
      <c r="MT111" s="1">
        <v>14577</v>
      </c>
      <c r="MU111" s="1">
        <v>9515</v>
      </c>
      <c r="MV111" s="1">
        <v>19856</v>
      </c>
      <c r="MW111" s="1"/>
      <c r="MX111" s="1">
        <v>15404</v>
      </c>
      <c r="MY111" s="1"/>
      <c r="MZ111" s="1"/>
      <c r="NA111" s="1"/>
      <c r="NB111" s="1"/>
      <c r="NC111" s="1">
        <v>16229</v>
      </c>
      <c r="ND111" s="1">
        <v>9206</v>
      </c>
      <c r="NE111" s="1"/>
      <c r="NF111" s="1">
        <v>13774</v>
      </c>
      <c r="NG111" s="1">
        <v>20079</v>
      </c>
      <c r="NH111" s="1">
        <v>3980</v>
      </c>
      <c r="NI111" s="1"/>
      <c r="NJ111" s="1"/>
      <c r="NK111" s="1"/>
      <c r="NL111" s="1"/>
      <c r="NM111" s="1">
        <v>5870</v>
      </c>
      <c r="NN111" s="1">
        <v>11819</v>
      </c>
      <c r="NO111" s="1"/>
      <c r="NR111" s="77">
        <f t="shared" si="81"/>
        <v>-1.0111245458021081E-2</v>
      </c>
      <c r="NS111" s="8">
        <f t="shared" si="84"/>
        <v>318468</v>
      </c>
      <c r="NT111" s="216"/>
      <c r="NV111" s="32">
        <v>878</v>
      </c>
      <c r="OA111" s="4">
        <v>12763</v>
      </c>
      <c r="OB111" s="32">
        <v>12522</v>
      </c>
      <c r="OE111" s="77">
        <f t="shared" si="82"/>
        <v>5.1481040378039879E-3</v>
      </c>
      <c r="OF111" s="213">
        <f t="shared" ref="OF111:OF145" si="107">IF(A111="","",SUM(NV111:OD111))</f>
        <v>26163</v>
      </c>
      <c r="OS111" s="213">
        <f t="shared" si="85"/>
        <v>0</v>
      </c>
      <c r="OT111" s="37"/>
      <c r="OU111" s="126">
        <f t="shared" si="98"/>
        <v>871370</v>
      </c>
      <c r="OV111" s="71">
        <f t="shared" si="73"/>
        <v>2.2402341022930337E-2</v>
      </c>
      <c r="OW111" s="139">
        <f>IF(A111="","",SUM(Z$17:Z111))</f>
        <v>20000</v>
      </c>
      <c r="OX111" s="139">
        <f t="shared" si="87"/>
        <v>917533</v>
      </c>
      <c r="OY111" s="132">
        <f t="shared" si="88"/>
        <v>0.28580036968058642</v>
      </c>
      <c r="OZ111" s="140">
        <f t="shared" si="99"/>
        <v>1024754</v>
      </c>
      <c r="PA111" s="84">
        <f t="shared" si="77"/>
        <v>-2.7387743092795246E-2</v>
      </c>
      <c r="PB111" s="130">
        <f>IF(A111="","",SUM(HB$17:HB111)+SUM(KY$17:KY111))</f>
        <v>115756.47</v>
      </c>
      <c r="PC111" s="131">
        <f t="shared" si="89"/>
        <v>795879.47</v>
      </c>
      <c r="PD111" s="132">
        <f t="shared" si="90"/>
        <v>0.20492682291706088</v>
      </c>
      <c r="PE111" s="133">
        <f t="shared" si="100"/>
        <v>680123</v>
      </c>
      <c r="PF111" s="84">
        <f t="shared" si="102"/>
        <v>-3.6461904626979853E-2</v>
      </c>
      <c r="PG111" s="133">
        <f t="shared" si="101"/>
        <v>1216001</v>
      </c>
      <c r="PH111" s="84" t="str">
        <f t="shared" si="103"/>
        <v/>
      </c>
      <c r="PI111" s="135">
        <f t="shared" si="91"/>
        <v>1896124</v>
      </c>
      <c r="PJ111" s="136">
        <f t="shared" si="104"/>
        <v>-5.122549238228709E-3</v>
      </c>
      <c r="PK111" s="123">
        <f t="shared" si="105"/>
        <v>7.8461472834046669E-2</v>
      </c>
      <c r="PL111" s="137">
        <f t="shared" si="92"/>
        <v>135756.47</v>
      </c>
      <c r="PM111" s="9">
        <f t="shared" si="93"/>
        <v>1713412.47</v>
      </c>
      <c r="PN111" s="138">
        <f t="shared" si="94"/>
        <v>0.24692526071420773</v>
      </c>
      <c r="PO111" s="86">
        <f>IF(PI111="","",MAX(PI$15:PI111))</f>
        <v>1941262</v>
      </c>
      <c r="PP111" s="113">
        <f t="shared" si="106"/>
        <v>-2.3805405131731891E-2</v>
      </c>
      <c r="PR111" s="309"/>
    </row>
    <row r="112" spans="1:434" s="1" customFormat="1" ht="15" customHeight="1" thickBot="1" x14ac:dyDescent="0.5">
      <c r="A112" s="272">
        <v>45874</v>
      </c>
      <c r="B112" s="296" t="s">
        <v>397</v>
      </c>
      <c r="C112" s="273">
        <v>86868</v>
      </c>
      <c r="D112" s="273"/>
      <c r="E112" s="273">
        <v>22098</v>
      </c>
      <c r="F112" s="273"/>
      <c r="G112" s="273"/>
      <c r="H112" s="273">
        <v>10765</v>
      </c>
      <c r="I112" s="273">
        <v>24833</v>
      </c>
      <c r="J112" s="273">
        <v>9108</v>
      </c>
      <c r="K112" s="273">
        <v>8796</v>
      </c>
      <c r="L112" s="273">
        <v>15853</v>
      </c>
      <c r="M112" s="273">
        <v>15965</v>
      </c>
      <c r="N112" s="273">
        <v>6442</v>
      </c>
      <c r="O112" s="273"/>
      <c r="P112" s="273"/>
      <c r="Q112" s="273">
        <v>9285</v>
      </c>
      <c r="R112" s="273"/>
      <c r="S112" s="273">
        <v>25583</v>
      </c>
      <c r="T112" s="273">
        <v>5422</v>
      </c>
      <c r="U112" s="273"/>
      <c r="V112" s="273"/>
      <c r="W112" s="273">
        <v>30366</v>
      </c>
      <c r="X112" s="273"/>
      <c r="Y112" s="273"/>
      <c r="Z112" s="273"/>
      <c r="AA112" s="274">
        <f t="shared" si="78"/>
        <v>-6.6038482584410807E-2</v>
      </c>
      <c r="AB112" s="275">
        <f t="shared" si="95"/>
        <v>271384</v>
      </c>
      <c r="AC112" s="276"/>
      <c r="AD112" s="273"/>
      <c r="AE112" s="273">
        <v>196682</v>
      </c>
      <c r="AF112" s="273"/>
      <c r="AG112" s="273"/>
      <c r="AH112" s="273">
        <v>13297</v>
      </c>
      <c r="AI112" s="273">
        <v>10930</v>
      </c>
      <c r="AJ112" s="273">
        <v>17167</v>
      </c>
      <c r="AK112" s="273">
        <v>20789</v>
      </c>
      <c r="AL112" s="273">
        <v>20026</v>
      </c>
      <c r="AM112" s="273"/>
      <c r="AN112" s="273">
        <v>6081</v>
      </c>
      <c r="AO112" s="273">
        <v>10000</v>
      </c>
      <c r="AP112" s="273">
        <v>8903</v>
      </c>
      <c r="AQ112" s="273">
        <v>9616</v>
      </c>
      <c r="AR112" s="273">
        <v>12119</v>
      </c>
      <c r="AS112" s="273"/>
      <c r="AT112" s="273"/>
      <c r="AU112" s="273"/>
      <c r="AV112" s="273">
        <v>3343</v>
      </c>
      <c r="AW112" s="273">
        <v>8992</v>
      </c>
      <c r="AX112" s="273"/>
      <c r="AY112" s="273"/>
      <c r="AZ112" s="273"/>
      <c r="BA112" s="273"/>
      <c r="BB112" s="273"/>
      <c r="BC112" s="273"/>
      <c r="BD112" s="273">
        <v>5383</v>
      </c>
      <c r="BE112" s="273">
        <v>13680</v>
      </c>
      <c r="BF112" s="273">
        <v>9304</v>
      </c>
      <c r="BG112" s="273">
        <v>6333</v>
      </c>
      <c r="BH112" s="273"/>
      <c r="BI112" s="273">
        <v>21963</v>
      </c>
      <c r="BJ112" s="273">
        <v>17324</v>
      </c>
      <c r="BK112" s="273"/>
      <c r="BL112" s="273"/>
      <c r="BM112" s="273">
        <v>18769</v>
      </c>
      <c r="BN112" s="273">
        <v>1100</v>
      </c>
      <c r="BO112" s="273">
        <v>20958</v>
      </c>
      <c r="BP112" s="273"/>
      <c r="BQ112" s="273"/>
      <c r="BR112" s="273">
        <v>10717</v>
      </c>
      <c r="BS112" s="273">
        <v>14488</v>
      </c>
      <c r="BT112" s="273"/>
      <c r="BU112" s="273"/>
      <c r="BV112" s="273"/>
      <c r="BW112" s="273"/>
      <c r="BX112" s="273">
        <v>5785</v>
      </c>
      <c r="BY112" s="273">
        <v>6048</v>
      </c>
      <c r="BZ112" s="273">
        <v>6467</v>
      </c>
      <c r="CA112" s="273"/>
      <c r="CB112" s="273"/>
      <c r="CC112" s="273"/>
      <c r="CD112" s="273"/>
      <c r="CE112" s="273"/>
      <c r="CF112" s="273"/>
      <c r="CG112" s="273">
        <v>22373</v>
      </c>
      <c r="CH112" s="273">
        <v>14730</v>
      </c>
      <c r="CI112" s="273">
        <v>7869</v>
      </c>
      <c r="CJ112" s="273"/>
      <c r="CK112" s="273"/>
      <c r="CL112" s="273"/>
      <c r="CM112" s="273">
        <v>21319</v>
      </c>
      <c r="CN112" s="273"/>
      <c r="CO112" s="273">
        <v>13066</v>
      </c>
      <c r="CP112" s="273"/>
      <c r="CQ112" s="273">
        <v>13484</v>
      </c>
      <c r="CR112" s="273"/>
      <c r="CS112" s="273">
        <v>7826</v>
      </c>
      <c r="CT112" s="273"/>
      <c r="CU112" s="273">
        <v>13101</v>
      </c>
      <c r="CV112" s="273">
        <v>15033</v>
      </c>
      <c r="CW112" s="273"/>
      <c r="CX112" s="273"/>
      <c r="CY112" s="274">
        <f t="shared" si="76"/>
        <v>7.6219401959720864E-2</v>
      </c>
      <c r="CZ112" s="275">
        <f t="shared" si="96"/>
        <v>625065</v>
      </c>
      <c r="DA112" s="276"/>
      <c r="DB112" s="273"/>
      <c r="DC112" s="273"/>
      <c r="DD112" s="273">
        <v>16378</v>
      </c>
      <c r="DE112" s="273">
        <v>11619</v>
      </c>
      <c r="DF112" s="273">
        <v>12891</v>
      </c>
      <c r="DG112" s="273">
        <v>11487</v>
      </c>
      <c r="DH112" s="273">
        <v>73700</v>
      </c>
      <c r="DI112" s="273"/>
      <c r="DJ112" s="273">
        <v>81243</v>
      </c>
      <c r="DK112" s="273">
        <v>10114</v>
      </c>
      <c r="DL112" s="273">
        <v>15170</v>
      </c>
      <c r="DM112" s="273">
        <v>18760</v>
      </c>
      <c r="DN112" s="273">
        <v>14584</v>
      </c>
      <c r="DO112" s="273">
        <v>9585</v>
      </c>
      <c r="DP112" s="273">
        <v>20000</v>
      </c>
      <c r="DQ112" s="273">
        <v>15452</v>
      </c>
      <c r="DR112" s="273">
        <v>16622</v>
      </c>
      <c r="DS112" s="273">
        <v>9504</v>
      </c>
      <c r="DT112" s="273">
        <v>7763</v>
      </c>
      <c r="DU112" s="273">
        <v>13899</v>
      </c>
      <c r="DV112" s="273"/>
      <c r="DW112" s="273"/>
      <c r="DX112" s="276"/>
      <c r="DY112" s="506"/>
      <c r="DZ112" s="300">
        <v>1047</v>
      </c>
      <c r="EA112" s="506"/>
      <c r="EB112" s="506"/>
      <c r="EC112" s="506"/>
      <c r="ED112" s="506"/>
      <c r="EE112" s="300">
        <v>13093</v>
      </c>
      <c r="EF112" s="300">
        <v>12649</v>
      </c>
      <c r="EG112" s="506"/>
      <c r="EH112" s="506"/>
      <c r="EI112" s="506"/>
      <c r="EJ112" s="506"/>
      <c r="EK112" s="418"/>
      <c r="EL112" s="300"/>
      <c r="EM112" s="300"/>
      <c r="EN112" s="300"/>
      <c r="EO112" s="2"/>
      <c r="EP112" s="300"/>
      <c r="EQ112" s="468" t="s">
        <v>1</v>
      </c>
      <c r="ER112"/>
      <c r="ES112" s="273"/>
      <c r="ET112" s="273"/>
      <c r="EU112" s="273"/>
      <c r="EV112" s="273"/>
      <c r="EW112" s="273"/>
      <c r="EX112" s="273">
        <v>8035</v>
      </c>
      <c r="EY112" s="273"/>
      <c r="EZ112" s="273"/>
      <c r="FA112" s="273"/>
      <c r="FB112" s="273"/>
      <c r="FC112" s="273"/>
      <c r="FD112" s="273"/>
      <c r="FE112" s="273"/>
      <c r="FF112" s="273"/>
      <c r="FG112" s="273"/>
      <c r="FH112" s="273"/>
      <c r="FI112" s="273"/>
      <c r="FJ112" s="273"/>
      <c r="FK112" s="273"/>
      <c r="FL112" s="273"/>
      <c r="FM112" s="273"/>
      <c r="FN112" s="273"/>
      <c r="FO112" s="273"/>
      <c r="FP112" s="273"/>
      <c r="FQ112" s="273"/>
      <c r="FR112" s="273">
        <v>10765</v>
      </c>
      <c r="FS112" s="273"/>
      <c r="FT112" s="273">
        <v>24833</v>
      </c>
      <c r="FU112" s="273">
        <v>9108</v>
      </c>
      <c r="FV112" s="273"/>
      <c r="FW112" s="273">
        <v>8796</v>
      </c>
      <c r="FX112" s="273"/>
      <c r="FY112" s="273">
        <v>15853</v>
      </c>
      <c r="FZ112" s="273"/>
      <c r="GA112" s="273"/>
      <c r="GB112" s="273"/>
      <c r="GC112" s="273"/>
      <c r="GD112" s="273">
        <v>15965</v>
      </c>
      <c r="GE112" s="273"/>
      <c r="GF112" s="273"/>
      <c r="GG112" s="273">
        <v>6442</v>
      </c>
      <c r="GH112" s="273"/>
      <c r="GI112" s="273"/>
      <c r="GJ112" s="273"/>
      <c r="GK112" s="273"/>
      <c r="GL112" s="273"/>
      <c r="GM112" s="273"/>
      <c r="GN112" s="273"/>
      <c r="GO112" s="273"/>
      <c r="GP112" s="273">
        <v>9285</v>
      </c>
      <c r="GQ112" s="273"/>
      <c r="GR112" s="273">
        <v>4444</v>
      </c>
      <c r="GS112" s="273"/>
      <c r="GT112" s="273">
        <v>25583</v>
      </c>
      <c r="GU112" s="273"/>
      <c r="GV112" s="273">
        <v>5422</v>
      </c>
      <c r="GW112" s="273"/>
      <c r="GX112" s="273"/>
      <c r="GY112" s="273"/>
      <c r="GZ112" s="273"/>
      <c r="HA112" s="273"/>
      <c r="HB112" s="273"/>
      <c r="HC112" s="274">
        <f t="shared" si="79"/>
        <v>-1.8471860972081682E-2</v>
      </c>
      <c r="HD112" s="275">
        <f t="shared" si="86"/>
        <v>144531</v>
      </c>
      <c r="HE112" s="276"/>
      <c r="HF112" s="273"/>
      <c r="HG112" s="273">
        <v>51109</v>
      </c>
      <c r="HH112" s="273">
        <v>13297</v>
      </c>
      <c r="HI112" s="273"/>
      <c r="HJ112" s="273">
        <v>17167</v>
      </c>
      <c r="HK112" s="273"/>
      <c r="HL112" s="273">
        <v>7612</v>
      </c>
      <c r="HM112" s="273">
        <v>20789</v>
      </c>
      <c r="HN112" s="273">
        <v>20026</v>
      </c>
      <c r="HO112" s="273"/>
      <c r="HP112" s="273"/>
      <c r="HQ112" s="273"/>
      <c r="HR112" s="273"/>
      <c r="HS112" s="273">
        <v>10000</v>
      </c>
      <c r="HT112" s="273"/>
      <c r="HU112" s="273">
        <v>8903</v>
      </c>
      <c r="HV112" s="273"/>
      <c r="HW112" s="273"/>
      <c r="HX112" s="273">
        <v>9616</v>
      </c>
      <c r="HY112" s="273">
        <v>8173</v>
      </c>
      <c r="HZ112" s="273"/>
      <c r="IA112" s="273"/>
      <c r="IB112" s="273">
        <v>12119</v>
      </c>
      <c r="IC112" s="273"/>
      <c r="ID112" s="273"/>
      <c r="IE112" s="273"/>
      <c r="IF112" s="273"/>
      <c r="IG112" s="273">
        <v>17594</v>
      </c>
      <c r="IH112" s="273"/>
      <c r="II112" s="273">
        <v>8992</v>
      </c>
      <c r="IJ112" s="273"/>
      <c r="IK112" s="273">
        <v>5383</v>
      </c>
      <c r="IL112" s="273">
        <v>14276</v>
      </c>
      <c r="IM112" s="273">
        <v>13680</v>
      </c>
      <c r="IN112" s="273">
        <v>9304</v>
      </c>
      <c r="IO112" s="273">
        <v>21963</v>
      </c>
      <c r="IP112" s="273">
        <v>17324</v>
      </c>
      <c r="IQ112" s="273"/>
      <c r="IR112" s="273">
        <v>18769</v>
      </c>
      <c r="IS112" s="273">
        <v>1100</v>
      </c>
      <c r="IT112" s="273"/>
      <c r="IU112" s="273"/>
      <c r="IV112" s="273">
        <v>20958</v>
      </c>
      <c r="IW112" s="273"/>
      <c r="IX112" s="273"/>
      <c r="IY112" s="273"/>
      <c r="IZ112" s="273">
        <v>17286</v>
      </c>
      <c r="JA112" s="273"/>
      <c r="JB112" s="273"/>
      <c r="JC112" s="273"/>
      <c r="JD112" s="273">
        <v>9423</v>
      </c>
      <c r="JE112" s="273"/>
      <c r="JF112" s="273"/>
      <c r="JG112" s="273">
        <v>8115</v>
      </c>
      <c r="JH112" s="273">
        <v>14488</v>
      </c>
      <c r="JI112" s="273"/>
      <c r="JJ112" s="273">
        <v>9639</v>
      </c>
      <c r="JK112" s="273"/>
      <c r="JL112" s="273"/>
      <c r="JM112" s="273"/>
      <c r="JN112" s="273"/>
      <c r="JO112" s="273"/>
      <c r="JP112" s="273"/>
      <c r="JQ112" s="273"/>
      <c r="JR112" s="273">
        <v>12096</v>
      </c>
      <c r="JS112" s="273">
        <v>16092</v>
      </c>
      <c r="JT112" s="273"/>
      <c r="JU112" s="273"/>
      <c r="JV112" s="273"/>
      <c r="JW112" s="273">
        <v>22373</v>
      </c>
      <c r="JX112" s="273">
        <v>14730</v>
      </c>
      <c r="JY112" s="273">
        <v>5547</v>
      </c>
      <c r="JZ112" s="273"/>
      <c r="KA112" s="273"/>
      <c r="KB112" s="273">
        <v>7869</v>
      </c>
      <c r="KC112" s="273">
        <v>16862</v>
      </c>
      <c r="KD112" s="273"/>
      <c r="KE112" s="273"/>
      <c r="KF112" s="273"/>
      <c r="KG112" s="273"/>
      <c r="KH112" s="273"/>
      <c r="KI112" s="273">
        <v>13066</v>
      </c>
      <c r="KJ112" s="273"/>
      <c r="KK112" s="273"/>
      <c r="KL112" s="273">
        <v>13484</v>
      </c>
      <c r="KM112" s="273"/>
      <c r="KN112" s="273">
        <v>7826</v>
      </c>
      <c r="KO112" s="273"/>
      <c r="KP112" s="273">
        <v>13101</v>
      </c>
      <c r="KQ112" s="273">
        <v>15033</v>
      </c>
      <c r="KR112" s="273"/>
      <c r="KS112" s="273"/>
      <c r="KT112" s="273"/>
      <c r="KU112" s="273">
        <v>7298</v>
      </c>
      <c r="KV112" s="273"/>
      <c r="KW112" s="273"/>
      <c r="KX112" s="273"/>
      <c r="KY112" s="273"/>
      <c r="KZ112" s="274">
        <f t="shared" si="80"/>
        <v>3.6800582503865843E-2</v>
      </c>
      <c r="LA112" s="277">
        <f t="shared" si="97"/>
        <v>552482</v>
      </c>
      <c r="LB112" s="276"/>
      <c r="LC112" s="273"/>
      <c r="LD112" s="273">
        <v>4053</v>
      </c>
      <c r="LE112" s="273">
        <v>8983</v>
      </c>
      <c r="LF112" s="273">
        <v>10930</v>
      </c>
      <c r="LG112" s="273">
        <v>16378</v>
      </c>
      <c r="LH112" s="273"/>
      <c r="LI112" s="273">
        <v>6081</v>
      </c>
      <c r="LJ112" s="273"/>
      <c r="LK112" s="273"/>
      <c r="LL112" s="273">
        <v>11619</v>
      </c>
      <c r="LM112" s="273">
        <v>12891</v>
      </c>
      <c r="LN112" s="273"/>
      <c r="LO112" s="273"/>
      <c r="LP112" s="273"/>
      <c r="LQ112" s="273"/>
      <c r="LR112" s="273">
        <v>3343</v>
      </c>
      <c r="LS112" s="273"/>
      <c r="LT112" s="273">
        <v>11487</v>
      </c>
      <c r="LU112" s="273"/>
      <c r="LV112" s="273"/>
      <c r="LW112" s="273"/>
      <c r="LX112" s="273"/>
      <c r="LY112" s="273">
        <v>6333</v>
      </c>
      <c r="LZ112" s="273">
        <v>10114</v>
      </c>
      <c r="MA112" s="273"/>
      <c r="MB112" s="273"/>
      <c r="MC112" s="273"/>
      <c r="MD112" s="273">
        <v>15170</v>
      </c>
      <c r="ME112" s="273">
        <v>10717</v>
      </c>
      <c r="MF112" s="273"/>
      <c r="MG112" s="273"/>
      <c r="MH112" s="273"/>
      <c r="MI112" s="273">
        <v>18760</v>
      </c>
      <c r="MJ112" s="273"/>
      <c r="MK112" s="273"/>
      <c r="ML112" s="273"/>
      <c r="MM112" s="273">
        <v>5785</v>
      </c>
      <c r="MN112" s="273">
        <v>6048</v>
      </c>
      <c r="MO112" s="273"/>
      <c r="MP112" s="273"/>
      <c r="MQ112" s="273">
        <v>6467</v>
      </c>
      <c r="MR112" s="273"/>
      <c r="MS112" s="273"/>
      <c r="MT112" s="273">
        <v>14584</v>
      </c>
      <c r="MU112" s="273">
        <v>9585</v>
      </c>
      <c r="MV112" s="273">
        <v>20000</v>
      </c>
      <c r="MW112" s="273"/>
      <c r="MX112" s="273">
        <v>15452</v>
      </c>
      <c r="MY112" s="273"/>
      <c r="MZ112" s="273"/>
      <c r="NA112" s="273">
        <v>7365</v>
      </c>
      <c r="NB112" s="273"/>
      <c r="NC112" s="273">
        <v>16622</v>
      </c>
      <c r="ND112" s="273">
        <v>9504</v>
      </c>
      <c r="NE112" s="273">
        <v>7763</v>
      </c>
      <c r="NF112" s="273">
        <v>13899</v>
      </c>
      <c r="NG112" s="273">
        <v>21319</v>
      </c>
      <c r="NH112" s="273">
        <v>4045</v>
      </c>
      <c r="NI112" s="273"/>
      <c r="NJ112" s="273"/>
      <c r="NK112" s="273"/>
      <c r="NL112" s="273"/>
      <c r="NM112" s="273">
        <v>5955</v>
      </c>
      <c r="NN112" s="273">
        <v>11564</v>
      </c>
      <c r="NO112" s="273"/>
      <c r="NP112" s="273"/>
      <c r="NQ112" s="273"/>
      <c r="NR112" s="274">
        <f t="shared" si="81"/>
        <v>1.36528630820051E-2</v>
      </c>
      <c r="NS112" s="277">
        <f t="shared" si="84"/>
        <v>322816</v>
      </c>
      <c r="NT112" s="276"/>
      <c r="NU112" s="273"/>
      <c r="NV112" s="273">
        <v>1047</v>
      </c>
      <c r="NW112" s="273"/>
      <c r="NX112" s="273"/>
      <c r="NY112" s="273"/>
      <c r="NZ112" s="273"/>
      <c r="OA112" s="273">
        <v>13093</v>
      </c>
      <c r="OB112" s="273">
        <v>12649</v>
      </c>
      <c r="OC112" s="273"/>
      <c r="OD112" s="273"/>
      <c r="OE112" s="274">
        <f t="shared" si="82"/>
        <v>2.3926919695753546E-2</v>
      </c>
      <c r="OF112" s="275">
        <f t="shared" si="107"/>
        <v>26789</v>
      </c>
      <c r="OG112" s="273"/>
      <c r="OH112" s="273"/>
      <c r="OI112" s="273"/>
      <c r="OJ112" s="273"/>
      <c r="OK112" s="273"/>
      <c r="OL112" s="273"/>
      <c r="OM112" s="273"/>
      <c r="ON112" s="273"/>
      <c r="OO112" s="273"/>
      <c r="OP112" s="273"/>
      <c r="OQ112" s="273"/>
      <c r="OR112" s="273"/>
      <c r="OS112" s="273">
        <f t="shared" si="85"/>
        <v>0</v>
      </c>
      <c r="OT112" s="278"/>
      <c r="OU112" s="279">
        <f t="shared" si="98"/>
        <v>896449</v>
      </c>
      <c r="OV112" s="280">
        <f t="shared" ref="OV112:OV143" si="108">IF(A112="","",(OU112-OU111)/OU111)</f>
        <v>2.8781114796240403E-2</v>
      </c>
      <c r="OW112" s="281">
        <f>IF(A112="","",SUM(Z$17:Z112))</f>
        <v>20000</v>
      </c>
      <c r="OX112" s="281">
        <f t="shared" si="87"/>
        <v>943238</v>
      </c>
      <c r="OY112" s="282">
        <f t="shared" si="88"/>
        <v>0.32182250567203252</v>
      </c>
      <c r="OZ112" s="283">
        <f t="shared" si="99"/>
        <v>1046618</v>
      </c>
      <c r="PA112" s="284">
        <f t="shared" si="77"/>
        <v>2.1335852311871923E-2</v>
      </c>
      <c r="PB112" s="285">
        <f>IF(A112="","",SUM(HB$17:HB112)+SUM(KY$17:KY112))</f>
        <v>115756.47</v>
      </c>
      <c r="PC112" s="286">
        <f t="shared" si="89"/>
        <v>812769.47</v>
      </c>
      <c r="PD112" s="282">
        <f t="shared" si="90"/>
        <v>0.23049754663364219</v>
      </c>
      <c r="PE112" s="287">
        <f t="shared" si="100"/>
        <v>697013</v>
      </c>
      <c r="PF112" s="284">
        <f t="shared" si="102"/>
        <v>2.4833743308195724E-2</v>
      </c>
      <c r="PG112" s="287">
        <f t="shared" si="101"/>
        <v>1246054</v>
      </c>
      <c r="PH112" s="284" t="str">
        <f t="shared" si="103"/>
        <v/>
      </c>
      <c r="PI112" s="288">
        <f t="shared" si="91"/>
        <v>1943067</v>
      </c>
      <c r="PJ112" s="289">
        <f t="shared" si="104"/>
        <v>2.4757347093333559E-2</v>
      </c>
      <c r="PK112" s="290">
        <f t="shared" si="105"/>
        <v>7.781823385907749E-2</v>
      </c>
      <c r="PL112" s="291">
        <f t="shared" si="92"/>
        <v>135756.47</v>
      </c>
      <c r="PM112" s="292">
        <f t="shared" si="93"/>
        <v>1756007.47</v>
      </c>
      <c r="PN112" s="293">
        <f t="shared" si="94"/>
        <v>0.27792350685170764</v>
      </c>
      <c r="PO112" s="294">
        <f>IF(PI112="","",MAX(PI$15:PI112))</f>
        <v>1943067</v>
      </c>
      <c r="PP112" s="295">
        <f t="shared" si="106"/>
        <v>0</v>
      </c>
      <c r="PR112" s="302"/>
    </row>
    <row r="113" spans="1:434" s="32" customFormat="1" ht="16" customHeight="1" thickTop="1" x14ac:dyDescent="0.45">
      <c r="A113" s="193">
        <v>45890</v>
      </c>
      <c r="B113" s="297" t="s">
        <v>398</v>
      </c>
      <c r="C113" s="1">
        <f>86868+12633</f>
        <v>99501</v>
      </c>
      <c r="D113" s="1"/>
      <c r="E113" s="1">
        <v>21695</v>
      </c>
      <c r="F113" s="1"/>
      <c r="G113" s="1"/>
      <c r="H113" s="1">
        <v>10748</v>
      </c>
      <c r="I113" s="1">
        <v>25728</v>
      </c>
      <c r="J113" s="1">
        <v>9275</v>
      </c>
      <c r="K113" s="1">
        <v>9452</v>
      </c>
      <c r="L113" s="1">
        <v>16031</v>
      </c>
      <c r="M113" s="1">
        <v>15016</v>
      </c>
      <c r="N113" s="1">
        <v>6568</v>
      </c>
      <c r="O113" s="1"/>
      <c r="P113" s="1"/>
      <c r="Q113" s="1">
        <v>9443</v>
      </c>
      <c r="R113" s="1"/>
      <c r="S113" s="1">
        <v>26320</v>
      </c>
      <c r="T113" s="1">
        <v>5562</v>
      </c>
      <c r="U113" s="1"/>
      <c r="V113" s="1"/>
      <c r="W113" s="1">
        <v>30207</v>
      </c>
      <c r="AA113" s="77">
        <f t="shared" si="78"/>
        <v>5.2184358694690916E-2</v>
      </c>
      <c r="AB113" s="213">
        <f t="shared" si="95"/>
        <v>285546</v>
      </c>
      <c r="AC113" s="216"/>
      <c r="AD113" s="298" t="s">
        <v>399</v>
      </c>
      <c r="AE113" s="1">
        <v>7547</v>
      </c>
      <c r="AF113" s="1"/>
      <c r="AG113" s="1">
        <v>8986</v>
      </c>
      <c r="AH113" s="1">
        <v>14619</v>
      </c>
      <c r="AI113" s="1">
        <v>11523</v>
      </c>
      <c r="AJ113" s="1">
        <v>17756</v>
      </c>
      <c r="AK113" s="1">
        <v>21572</v>
      </c>
      <c r="AL113" s="1">
        <v>20638</v>
      </c>
      <c r="AM113" s="1"/>
      <c r="AN113" s="1">
        <v>6200</v>
      </c>
      <c r="AO113" s="1">
        <v>9806</v>
      </c>
      <c r="AP113" s="1">
        <v>6345</v>
      </c>
      <c r="AQ113" s="1">
        <v>11072</v>
      </c>
      <c r="AR113" s="1">
        <v>12444</v>
      </c>
      <c r="AS113" s="1"/>
      <c r="AT113" s="1"/>
      <c r="AU113" s="1"/>
      <c r="AV113" s="1">
        <v>3428</v>
      </c>
      <c r="AW113" s="1">
        <v>8850</v>
      </c>
      <c r="AX113" s="1"/>
      <c r="AY113" s="1"/>
      <c r="AZ113" s="1"/>
      <c r="BA113" s="1"/>
      <c r="BB113" s="1">
        <v>110000</v>
      </c>
      <c r="BC113" s="1">
        <v>270000</v>
      </c>
      <c r="BD113" s="1">
        <v>5374</v>
      </c>
      <c r="BE113" s="1">
        <v>13983</v>
      </c>
      <c r="BF113" s="1">
        <v>9307</v>
      </c>
      <c r="BG113" s="1">
        <v>6369</v>
      </c>
      <c r="BH113" s="1"/>
      <c r="BI113" s="1">
        <v>24256</v>
      </c>
      <c r="BJ113" s="1">
        <v>17897</v>
      </c>
      <c r="BK113" s="1"/>
      <c r="BL113" s="1"/>
      <c r="BM113" s="1">
        <v>19035</v>
      </c>
      <c r="BN113" s="1">
        <v>1141</v>
      </c>
      <c r="BO113" s="1">
        <v>21738</v>
      </c>
      <c r="BP113" s="1"/>
      <c r="BQ113" s="1"/>
      <c r="BR113" s="1">
        <v>10952</v>
      </c>
      <c r="BS113" s="1">
        <v>15000</v>
      </c>
      <c r="BT113" s="1"/>
      <c r="BU113" s="1"/>
      <c r="BV113" s="1"/>
      <c r="BW113" s="1"/>
      <c r="BX113" s="1">
        <v>5414</v>
      </c>
      <c r="BY113" s="1">
        <v>6349</v>
      </c>
      <c r="BZ113" s="1">
        <v>23134</v>
      </c>
      <c r="CA113" s="1"/>
      <c r="CB113" s="1"/>
      <c r="CC113" s="1"/>
      <c r="CD113" s="1"/>
      <c r="CE113" s="1"/>
      <c r="CF113" s="1"/>
      <c r="CG113" s="1">
        <v>23558</v>
      </c>
      <c r="CH113" s="1">
        <v>27302</v>
      </c>
      <c r="CI113" s="1">
        <v>8077</v>
      </c>
      <c r="CJ113" s="1"/>
      <c r="CK113" s="1"/>
      <c r="CL113" s="1"/>
      <c r="CM113" s="1">
        <v>21979</v>
      </c>
      <c r="CN113" s="1"/>
      <c r="CO113" s="1">
        <v>13111</v>
      </c>
      <c r="CP113" s="1"/>
      <c r="CQ113" s="1">
        <v>17634</v>
      </c>
      <c r="CR113" s="1"/>
      <c r="CS113" s="1">
        <v>7949</v>
      </c>
      <c r="CT113" s="1"/>
      <c r="CU113" s="1">
        <v>19680</v>
      </c>
      <c r="CV113" s="1">
        <v>26405</v>
      </c>
      <c r="CW113" s="1"/>
      <c r="CY113" s="77">
        <f t="shared" ref="CY113:CY144" si="109">IF($A113="","",(CZ113-CZ112)/CZ112)</f>
        <v>0.41814051338660779</v>
      </c>
      <c r="CZ113" s="213">
        <f t="shared" si="96"/>
        <v>886430</v>
      </c>
      <c r="DA113" s="216"/>
      <c r="DD113" s="1">
        <v>16310</v>
      </c>
      <c r="DE113" s="1">
        <v>11573</v>
      </c>
      <c r="DF113" s="1">
        <v>12840</v>
      </c>
      <c r="DG113" s="1">
        <v>11433</v>
      </c>
      <c r="DH113" s="1">
        <v>72353</v>
      </c>
      <c r="DJ113" s="1">
        <v>80747</v>
      </c>
      <c r="DK113" s="1">
        <v>10133</v>
      </c>
      <c r="DL113" s="1">
        <v>15192</v>
      </c>
      <c r="DM113" s="1">
        <v>18700</v>
      </c>
      <c r="DN113" s="1">
        <v>14592</v>
      </c>
      <c r="DO113" s="1">
        <v>9399</v>
      </c>
      <c r="DP113" s="1">
        <v>19936</v>
      </c>
      <c r="DQ113" s="1">
        <v>15474</v>
      </c>
      <c r="DR113" s="1">
        <v>16572</v>
      </c>
      <c r="DS113" s="1">
        <v>9425</v>
      </c>
      <c r="DT113" s="1">
        <v>7737</v>
      </c>
      <c r="DU113" s="1">
        <v>13913</v>
      </c>
      <c r="DW113" s="1">
        <f>IF(A113="","",SUM(DC113:DV113))</f>
        <v>356329</v>
      </c>
      <c r="DX113" s="216"/>
      <c r="DZ113" s="4">
        <v>1162.67</v>
      </c>
      <c r="EE113" s="4">
        <v>13121</v>
      </c>
      <c r="EF113" s="4">
        <v>12695</v>
      </c>
      <c r="EJ113" s="1">
        <f>IF(A113="","",SUM(DZ113:EI113))</f>
        <v>26978.67</v>
      </c>
      <c r="EK113" s="417"/>
      <c r="EN113" s="1"/>
      <c r="EO113" s="216"/>
      <c r="EP113" s="1">
        <f>IF(A113="","",AB113+CZ113+DW113+EJ113)</f>
        <v>1555283.67</v>
      </c>
      <c r="EQ113" s="468" t="s">
        <v>1</v>
      </c>
      <c r="ER113"/>
      <c r="ES113" s="297" t="s">
        <v>400</v>
      </c>
      <c r="FR113" s="1"/>
      <c r="HC113" s="77">
        <f t="shared" si="79"/>
        <v>-1</v>
      </c>
      <c r="HD113" s="213">
        <f t="shared" si="86"/>
        <v>0</v>
      </c>
      <c r="HE113" s="216"/>
      <c r="HF113" s="297" t="s">
        <v>401</v>
      </c>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c r="IX113" s="1"/>
      <c r="IY113" s="1"/>
      <c r="IZ113" s="1"/>
      <c r="JA113" s="1"/>
      <c r="JB113" s="1"/>
      <c r="JC113" s="1"/>
      <c r="JD113" s="1"/>
      <c r="JE113" s="1"/>
      <c r="JF113" s="1"/>
      <c r="JG113" s="1"/>
      <c r="JH113" s="1"/>
      <c r="JI113" s="1"/>
      <c r="JJ113" s="1"/>
      <c r="JK113" s="1"/>
      <c r="JL113" s="1"/>
      <c r="JM113" s="1"/>
      <c r="JN113" s="1"/>
      <c r="JO113" s="1"/>
      <c r="JP113" s="1"/>
      <c r="JQ113" s="1"/>
      <c r="JR113" s="1"/>
      <c r="JS113" s="1"/>
      <c r="JT113" s="1"/>
      <c r="JU113" s="1"/>
      <c r="JV113" s="1"/>
      <c r="JW113" s="1"/>
      <c r="JX113" s="1"/>
      <c r="JY113" s="1"/>
      <c r="JZ113" s="1"/>
      <c r="KA113" s="1"/>
      <c r="KB113" s="1"/>
      <c r="KC113" s="1"/>
      <c r="KD113" s="1"/>
      <c r="KE113" s="1"/>
      <c r="KF113" s="1"/>
      <c r="KG113" s="1"/>
      <c r="KH113" s="1"/>
      <c r="KI113" s="1"/>
      <c r="KJ113" s="1"/>
      <c r="KK113" s="1"/>
      <c r="KL113" s="1"/>
      <c r="KM113" s="1"/>
      <c r="KN113" s="1"/>
      <c r="KO113" s="1"/>
      <c r="KP113" s="1"/>
      <c r="KQ113" s="1"/>
      <c r="KR113" s="1"/>
      <c r="KS113" s="1"/>
      <c r="KT113" s="1"/>
      <c r="KU113" s="1"/>
      <c r="KZ113" s="77">
        <f t="shared" si="80"/>
        <v>-1</v>
      </c>
      <c r="LA113" s="266">
        <f t="shared" si="97"/>
        <v>0</v>
      </c>
      <c r="LB113" s="216"/>
      <c r="LC113" s="297" t="s">
        <v>401</v>
      </c>
      <c r="LD113" s="1"/>
      <c r="LE113" s="1"/>
      <c r="LF113" s="1"/>
      <c r="LG113" s="1"/>
      <c r="LH113" s="1"/>
      <c r="LI113" s="1"/>
      <c r="LJ113" s="1"/>
      <c r="LK113" s="1"/>
      <c r="LL113" s="1"/>
      <c r="LM113" s="1"/>
      <c r="LN113" s="1"/>
      <c r="LO113" s="1"/>
      <c r="LP113" s="1"/>
      <c r="LQ113" s="1"/>
      <c r="LR113" s="1"/>
      <c r="LS113" s="1"/>
      <c r="LT113" s="1"/>
      <c r="LU113" s="1"/>
      <c r="LV113" s="1"/>
      <c r="LW113" s="1"/>
      <c r="LX113" s="1"/>
      <c r="LY113" s="1"/>
      <c r="LZ113" s="1"/>
      <c r="MA113" s="1"/>
      <c r="MB113" s="1"/>
      <c r="MC113" s="1"/>
      <c r="MD113" s="1"/>
      <c r="ME113" s="1"/>
      <c r="MF113" s="1"/>
      <c r="MG113" s="1"/>
      <c r="MH113" s="1"/>
      <c r="MI113" s="1"/>
      <c r="MJ113" s="1"/>
      <c r="MK113" s="1"/>
      <c r="ML113" s="1"/>
      <c r="MM113" s="1"/>
      <c r="MN113" s="1"/>
      <c r="MO113" s="1"/>
      <c r="MP113" s="1"/>
      <c r="MQ113" s="1"/>
      <c r="MR113" s="1"/>
      <c r="MS113" s="1"/>
      <c r="MT113" s="1"/>
      <c r="MU113" s="1"/>
      <c r="MV113" s="1"/>
      <c r="MW113" s="1"/>
      <c r="MX113" s="1"/>
      <c r="MY113" s="1"/>
      <c r="MZ113" s="1"/>
      <c r="NA113" s="1"/>
      <c r="NB113" s="1"/>
      <c r="NC113" s="1"/>
      <c r="ND113" s="1"/>
      <c r="NE113" s="1"/>
      <c r="NF113" s="1"/>
      <c r="NG113" s="1"/>
      <c r="NH113" s="1"/>
      <c r="NI113" s="1"/>
      <c r="NJ113" s="1"/>
      <c r="NK113" s="1"/>
      <c r="NL113" s="1"/>
      <c r="NM113" s="1"/>
      <c r="NN113" s="1"/>
      <c r="NO113" s="1"/>
      <c r="NR113" s="77">
        <f t="shared" si="81"/>
        <v>-1</v>
      </c>
      <c r="NS113" s="266">
        <f t="shared" si="84"/>
        <v>0</v>
      </c>
      <c r="NT113" s="216"/>
      <c r="OE113" s="77">
        <f t="shared" si="82"/>
        <v>-1</v>
      </c>
      <c r="OF113" s="213">
        <f t="shared" si="107"/>
        <v>0</v>
      </c>
      <c r="OS113" s="32">
        <f t="shared" si="85"/>
        <v>0</v>
      </c>
      <c r="OT113" s="37"/>
      <c r="OU113" s="100">
        <f t="shared" si="98"/>
        <v>1171976</v>
      </c>
      <c r="OV113" s="267">
        <f t="shared" si="108"/>
        <v>0.30735379257492618</v>
      </c>
      <c r="OW113" s="101">
        <f>IF(A113="","",SUM(Z$17:Z113))</f>
        <v>20000</v>
      </c>
      <c r="OX113" s="101">
        <f t="shared" si="87"/>
        <v>1191976</v>
      </c>
      <c r="OY113" s="102">
        <f t="shared" si="88"/>
        <v>0.67039570396965198</v>
      </c>
      <c r="OZ113" s="103">
        <f t="shared" si="99"/>
        <v>0</v>
      </c>
      <c r="PA113" s="268">
        <f t="shared" ref="PA113:PA144" si="110">IF(A113="","",(OZ113-OZ112)/OZ112)</f>
        <v>-1</v>
      </c>
      <c r="PB113" s="269">
        <f>IF(A113="","",SUM(HB$17:HB113)+SUM(KY$17:KY113))</f>
        <v>115756.47</v>
      </c>
      <c r="PC113" s="270">
        <f t="shared" si="89"/>
        <v>115756.47</v>
      </c>
      <c r="PD113" s="102">
        <f t="shared" si="90"/>
        <v>-0.82474975057568201</v>
      </c>
      <c r="PE113" s="105">
        <f t="shared" si="100"/>
        <v>0</v>
      </c>
      <c r="PF113" s="268">
        <f t="shared" si="102"/>
        <v>-1</v>
      </c>
      <c r="PG113" s="105">
        <f t="shared" si="101"/>
        <v>1171976</v>
      </c>
      <c r="PH113" s="268" t="str">
        <f t="shared" si="103"/>
        <v/>
      </c>
      <c r="PI113" s="107">
        <f t="shared" si="91"/>
        <v>1171976</v>
      </c>
      <c r="PJ113" s="271">
        <f t="shared" si="104"/>
        <v>-0.39684220873495357</v>
      </c>
      <c r="PK113" s="109">
        <f t="shared" si="105"/>
        <v>-0.30014067042582027</v>
      </c>
      <c r="PL113" s="110">
        <f t="shared" si="92"/>
        <v>135756.47</v>
      </c>
      <c r="PM113" s="111">
        <f t="shared" si="93"/>
        <v>1307732.47</v>
      </c>
      <c r="PN113" s="112">
        <f t="shared" si="94"/>
        <v>-4.8305834321851981E-2</v>
      </c>
      <c r="PO113" s="86">
        <f>IF(PI113="","",MAX(PI$15:PI113))</f>
        <v>1943067</v>
      </c>
      <c r="PP113" s="113">
        <f t="shared" si="106"/>
        <v>-0.65794094759619648</v>
      </c>
      <c r="PR113" s="311" t="s">
        <v>1</v>
      </c>
    </row>
    <row r="114" spans="1:434" s="1" customFormat="1" ht="16" customHeight="1" x14ac:dyDescent="0.45">
      <c r="A114" s="193">
        <v>45894</v>
      </c>
      <c r="B114" s="40" t="s">
        <v>402</v>
      </c>
      <c r="AA114" s="4">
        <f t="shared" si="78"/>
        <v>-1</v>
      </c>
      <c r="AB114" s="213">
        <f t="shared" si="95"/>
        <v>0</v>
      </c>
      <c r="AC114" s="2"/>
      <c r="CY114" s="4">
        <f t="shared" si="109"/>
        <v>-1</v>
      </c>
      <c r="CZ114" s="213">
        <f t="shared" si="96"/>
        <v>0</v>
      </c>
      <c r="DA114" s="2"/>
      <c r="DW114" s="1">
        <f t="shared" ref="DW114" si="111">IF(A114="","",SUM(DC114:DV114))</f>
        <v>0</v>
      </c>
      <c r="DX114" s="2"/>
      <c r="EJ114" s="1">
        <f t="shared" ref="EJ114:EJ151" si="112">IF(A114="","",SUM(DZ114:EI114))</f>
        <v>0</v>
      </c>
      <c r="EK114" s="5"/>
      <c r="EO114" s="2"/>
      <c r="EQ114" s="468" t="s">
        <v>1</v>
      </c>
      <c r="ER114"/>
      <c r="HC114" s="4" t="e">
        <f t="shared" si="79"/>
        <v>#DIV/0!</v>
      </c>
      <c r="HD114" s="213">
        <f t="shared" si="86"/>
        <v>0</v>
      </c>
      <c r="HE114" s="2"/>
      <c r="KZ114" s="4" t="e">
        <f t="shared" si="80"/>
        <v>#DIV/0!</v>
      </c>
      <c r="LA114" s="8">
        <f t="shared" si="97"/>
        <v>0</v>
      </c>
      <c r="LB114" s="2"/>
      <c r="NR114" s="4" t="e">
        <f t="shared" si="81"/>
        <v>#DIV/0!</v>
      </c>
      <c r="NS114" s="8">
        <f t="shared" si="84"/>
        <v>0</v>
      </c>
      <c r="NT114" s="2"/>
      <c r="OE114" s="4" t="e">
        <f t="shared" si="82"/>
        <v>#DIV/0!</v>
      </c>
      <c r="OF114" s="213">
        <f t="shared" si="107"/>
        <v>0</v>
      </c>
      <c r="OS114" s="1">
        <f t="shared" si="85"/>
        <v>0</v>
      </c>
      <c r="OT114" s="37"/>
      <c r="OU114" s="126">
        <f t="shared" si="98"/>
        <v>0</v>
      </c>
      <c r="OV114" s="141">
        <f t="shared" si="108"/>
        <v>-1</v>
      </c>
      <c r="OW114" s="139">
        <f>IF(A114="","",SUM(Z$17:Z114))</f>
        <v>20000</v>
      </c>
      <c r="OX114" s="139">
        <f t="shared" si="87"/>
        <v>20000</v>
      </c>
      <c r="OY114" s="393">
        <f t="shared" si="88"/>
        <v>-0.97197266213464617</v>
      </c>
      <c r="OZ114" s="140">
        <f t="shared" si="99"/>
        <v>0</v>
      </c>
      <c r="PA114" s="394" t="e">
        <f t="shared" si="110"/>
        <v>#DIV/0!</v>
      </c>
      <c r="PB114" s="130">
        <f>IF(A114="","",SUM(HB$17:HB114)+SUM(KY$17:KY114))</f>
        <v>115756.47</v>
      </c>
      <c r="PC114" s="131">
        <f t="shared" si="89"/>
        <v>115756.47</v>
      </c>
      <c r="PD114" s="393">
        <f t="shared" si="90"/>
        <v>-0.82474975057568201</v>
      </c>
      <c r="PE114" s="133">
        <f t="shared" si="100"/>
        <v>0</v>
      </c>
      <c r="PF114" s="394" t="e">
        <f t="shared" si="102"/>
        <v>#DIV/0!</v>
      </c>
      <c r="PG114" s="133">
        <f t="shared" si="101"/>
        <v>0</v>
      </c>
      <c r="PH114" s="394" t="str">
        <f t="shared" si="103"/>
        <v/>
      </c>
      <c r="PI114" s="135">
        <f t="shared" si="91"/>
        <v>0</v>
      </c>
      <c r="PJ114" s="395">
        <f t="shared" si="104"/>
        <v>-1</v>
      </c>
      <c r="PK114" s="396">
        <f t="shared" si="105"/>
        <v>-1</v>
      </c>
      <c r="PL114" s="137">
        <f t="shared" si="92"/>
        <v>135756.47</v>
      </c>
      <c r="PM114" s="9">
        <f t="shared" si="93"/>
        <v>135756.47</v>
      </c>
      <c r="PN114" s="397">
        <f t="shared" si="94"/>
        <v>-0.90120407390965795</v>
      </c>
      <c r="PO114" s="86">
        <f>IF(PI114="","",MAX(PI$15:PI114))</f>
        <v>1943067</v>
      </c>
      <c r="PP114" s="398" t="e">
        <f t="shared" si="106"/>
        <v>#DIV/0!</v>
      </c>
      <c r="PR114" s="399" t="s">
        <v>1</v>
      </c>
    </row>
    <row r="115" spans="1:434" s="1" customFormat="1" ht="16" customHeight="1" x14ac:dyDescent="0.45">
      <c r="A115" s="193">
        <v>45896</v>
      </c>
      <c r="C115" s="1">
        <v>106056</v>
      </c>
      <c r="E115" s="1">
        <v>21789</v>
      </c>
      <c r="H115" s="1">
        <v>10917</v>
      </c>
      <c r="I115" s="1">
        <v>25600</v>
      </c>
      <c r="J115" s="1">
        <v>9275</v>
      </c>
      <c r="K115" s="1">
        <v>9452</v>
      </c>
      <c r="L115" s="1">
        <v>16430</v>
      </c>
      <c r="M115" s="1">
        <v>15016</v>
      </c>
      <c r="Q115" s="1">
        <v>9442</v>
      </c>
      <c r="S115" s="1">
        <v>26320</v>
      </c>
      <c r="T115" s="1">
        <v>5562</v>
      </c>
      <c r="W115" s="1">
        <v>30207</v>
      </c>
      <c r="AA115" s="4" t="e">
        <f t="shared" si="78"/>
        <v>#DIV/0!</v>
      </c>
      <c r="AB115" s="213">
        <f t="shared" si="95"/>
        <v>286066</v>
      </c>
      <c r="AC115" s="2"/>
      <c r="AE115" s="1">
        <v>75482</v>
      </c>
      <c r="AG115" s="1">
        <v>8988</v>
      </c>
      <c r="AH115" s="1">
        <v>14925</v>
      </c>
      <c r="AI115" s="1">
        <v>11551</v>
      </c>
      <c r="AJ115" s="1">
        <v>18341</v>
      </c>
      <c r="AK115" s="1">
        <v>22490</v>
      </c>
      <c r="AL115" s="1">
        <v>20980</v>
      </c>
      <c r="AN115" s="1">
        <v>6225</v>
      </c>
      <c r="AP115" s="1">
        <v>9745</v>
      </c>
      <c r="AQ115" s="1">
        <v>11400</v>
      </c>
      <c r="AR115" s="1">
        <v>12718</v>
      </c>
      <c r="AV115" s="1">
        <v>3394</v>
      </c>
      <c r="AW115" s="1">
        <v>9102</v>
      </c>
      <c r="BB115" s="1">
        <v>108831</v>
      </c>
      <c r="BC115" s="1">
        <v>269999</v>
      </c>
      <c r="BD115" s="1">
        <v>5459</v>
      </c>
      <c r="BE115" s="1">
        <v>14567</v>
      </c>
      <c r="BF115" s="1">
        <v>9736</v>
      </c>
      <c r="BG115" s="1">
        <v>6360</v>
      </c>
      <c r="BI115" s="1">
        <v>24248</v>
      </c>
      <c r="BJ115" s="1">
        <v>18499</v>
      </c>
      <c r="BM115" s="1">
        <v>19578</v>
      </c>
      <c r="BN115" s="1">
        <v>1182</v>
      </c>
      <c r="BO115" s="1">
        <v>21570</v>
      </c>
      <c r="BS115" s="1">
        <v>14976</v>
      </c>
      <c r="BZ115" s="1">
        <v>23165</v>
      </c>
      <c r="CG115" s="1">
        <v>24120</v>
      </c>
      <c r="CI115" s="1">
        <v>8107</v>
      </c>
      <c r="CM115" s="1">
        <v>21933</v>
      </c>
      <c r="CO115" s="1">
        <v>13948</v>
      </c>
      <c r="CQ115" s="1">
        <v>17928</v>
      </c>
      <c r="CU115" s="1">
        <v>19780</v>
      </c>
      <c r="CV115" s="1">
        <v>25907</v>
      </c>
      <c r="CY115" s="4" t="e">
        <f t="shared" si="109"/>
        <v>#DIV/0!</v>
      </c>
      <c r="CZ115" s="213">
        <f>IF(A115="","",SUM(AE115:CX115))</f>
        <v>895234</v>
      </c>
      <c r="DA115" s="2"/>
      <c r="DD115" s="1">
        <v>16367</v>
      </c>
      <c r="DE115" s="1">
        <v>11629</v>
      </c>
      <c r="DF115" s="1">
        <v>12882</v>
      </c>
      <c r="DG115" s="1">
        <v>11481</v>
      </c>
      <c r="DH115" s="1">
        <v>72866</v>
      </c>
      <c r="DJ115" s="1">
        <v>81346</v>
      </c>
      <c r="DK115" s="1">
        <v>10143</v>
      </c>
      <c r="DL115" s="1">
        <v>15213</v>
      </c>
      <c r="DM115" s="1">
        <v>18796</v>
      </c>
      <c r="DN115" s="1">
        <v>14631</v>
      </c>
      <c r="DO115" s="1">
        <v>9379</v>
      </c>
      <c r="DP115" s="1">
        <v>20047</v>
      </c>
      <c r="DQ115" s="1">
        <v>15559</v>
      </c>
      <c r="DR115" s="1">
        <v>16645</v>
      </c>
      <c r="DS115" s="1">
        <v>9431</v>
      </c>
      <c r="DT115" s="1">
        <v>7759</v>
      </c>
      <c r="DU115" s="1">
        <v>13961</v>
      </c>
      <c r="DW115" s="1">
        <f>IF(A115="","",SUM(DC115:DV115))</f>
        <v>358135</v>
      </c>
      <c r="DX115" s="2"/>
      <c r="DZ115" s="1">
        <v>1163</v>
      </c>
      <c r="EE115" s="1">
        <v>13114</v>
      </c>
      <c r="EF115" s="1">
        <v>12706</v>
      </c>
      <c r="EJ115" s="1">
        <f>IF(A115="","",SUM(DZ115:EI115))</f>
        <v>26983</v>
      </c>
      <c r="EK115" s="5"/>
      <c r="EL115" s="1">
        <v>1141.47</v>
      </c>
      <c r="EO115" s="412"/>
      <c r="EP115" s="1">
        <f t="shared" ref="EP115:EP151" si="113">IF(A115="","",AB115+CZ115+DW115+EJ115)</f>
        <v>1566418</v>
      </c>
      <c r="EQ115" s="468" t="s">
        <v>1</v>
      </c>
      <c r="ER115"/>
      <c r="HC115" s="4" t="e">
        <f t="shared" si="79"/>
        <v>#DIV/0!</v>
      </c>
      <c r="HD115" s="213">
        <f t="shared" si="86"/>
        <v>0</v>
      </c>
      <c r="HE115" s="2"/>
      <c r="KZ115" s="4" t="e">
        <f t="shared" si="80"/>
        <v>#DIV/0!</v>
      </c>
      <c r="LA115" s="8">
        <f t="shared" si="97"/>
        <v>0</v>
      </c>
      <c r="LB115" s="2"/>
      <c r="NR115" s="4" t="e">
        <f t="shared" si="81"/>
        <v>#DIV/0!</v>
      </c>
      <c r="NS115" s="8">
        <f t="shared" ref="NS115:NS144" si="114">IF(A115="","",SUM(LD115:NO115))</f>
        <v>0</v>
      </c>
      <c r="NT115" s="2"/>
      <c r="OE115" s="4" t="e">
        <f t="shared" si="82"/>
        <v>#DIV/0!</v>
      </c>
      <c r="OF115" s="213">
        <f t="shared" si="107"/>
        <v>0</v>
      </c>
      <c r="OT115" s="37"/>
      <c r="OU115" s="126">
        <f t="shared" si="98"/>
        <v>1181300</v>
      </c>
      <c r="OV115" s="141" t="e">
        <f t="shared" si="108"/>
        <v>#DIV/0!</v>
      </c>
      <c r="OW115" s="139">
        <f>IF(A115="","",SUM(Z$17:Z115))</f>
        <v>20000</v>
      </c>
      <c r="OX115" s="139">
        <f t="shared" si="87"/>
        <v>1201300</v>
      </c>
      <c r="OY115" s="393">
        <f t="shared" si="88"/>
        <v>0.68346204888247997</v>
      </c>
      <c r="OZ115" s="140">
        <f t="shared" si="99"/>
        <v>0</v>
      </c>
      <c r="PA115" s="394" t="e">
        <f t="shared" si="110"/>
        <v>#DIV/0!</v>
      </c>
      <c r="PB115" s="130">
        <f>IF(A115="","",SUM(HB$17:HB115)+SUM(KY$17:KY115))</f>
        <v>115756.47</v>
      </c>
      <c r="PC115" s="131">
        <f t="shared" si="89"/>
        <v>115756.47</v>
      </c>
      <c r="PD115" s="393">
        <f t="shared" si="90"/>
        <v>-0.82474975057568201</v>
      </c>
      <c r="PE115" s="133">
        <f t="shared" si="100"/>
        <v>0</v>
      </c>
      <c r="PF115" s="394" t="e">
        <f t="shared" si="102"/>
        <v>#DIV/0!</v>
      </c>
      <c r="PG115" s="133">
        <f t="shared" si="101"/>
        <v>1181300</v>
      </c>
      <c r="PH115" s="394" t="str">
        <f t="shared" si="103"/>
        <v/>
      </c>
      <c r="PI115" s="135">
        <f t="shared" si="91"/>
        <v>1181300</v>
      </c>
      <c r="PJ115" s="395" t="e">
        <f t="shared" si="104"/>
        <v>#DIV/0!</v>
      </c>
      <c r="PK115" s="396">
        <f t="shared" si="105"/>
        <v>-0.35992084757251619</v>
      </c>
      <c r="PL115" s="137">
        <f t="shared" si="92"/>
        <v>135756.47</v>
      </c>
      <c r="PM115" s="9">
        <f t="shared" si="93"/>
        <v>1317056.47</v>
      </c>
      <c r="PN115" s="397">
        <f t="shared" si="94"/>
        <v>-4.1520351354695062E-2</v>
      </c>
      <c r="PO115" s="86">
        <f>IF(PI115="","",MAX(PI$15:PI115))</f>
        <v>1943067</v>
      </c>
      <c r="PP115" s="398">
        <f t="shared" si="106"/>
        <v>-0.64485482095995939</v>
      </c>
      <c r="PR115" s="399" t="s">
        <v>1</v>
      </c>
    </row>
    <row r="116" spans="1:434" s="1" customFormat="1" ht="16" customHeight="1" x14ac:dyDescent="0.45">
      <c r="A116" s="193">
        <v>45898</v>
      </c>
      <c r="B116" s="1" t="s">
        <v>403</v>
      </c>
      <c r="C116" s="1">
        <v>234964</v>
      </c>
      <c r="E116" s="1">
        <v>21884</v>
      </c>
      <c r="W116" s="1">
        <v>30326</v>
      </c>
      <c r="AA116" s="4">
        <f t="shared" si="78"/>
        <v>3.8732320513447946E-3</v>
      </c>
      <c r="AB116" s="213">
        <f t="shared" si="95"/>
        <v>287174</v>
      </c>
      <c r="AC116" s="2"/>
      <c r="AE116" s="1">
        <f>171617+53</f>
        <v>171670</v>
      </c>
      <c r="AG116" s="1">
        <v>8989</v>
      </c>
      <c r="AH116" s="1">
        <v>15115</v>
      </c>
      <c r="AI116" s="1">
        <v>11524</v>
      </c>
      <c r="AK116" s="1">
        <v>23127</v>
      </c>
      <c r="AL116" s="1">
        <v>20930</v>
      </c>
      <c r="AN116" s="1">
        <v>6266</v>
      </c>
      <c r="AQ116" s="1">
        <v>11260</v>
      </c>
      <c r="AR116" s="1">
        <v>12833</v>
      </c>
      <c r="AV116" s="1">
        <v>3395</v>
      </c>
      <c r="AW116" s="1">
        <v>9179</v>
      </c>
      <c r="BB116" s="1">
        <v>8609</v>
      </c>
      <c r="BC116" s="1">
        <v>231678</v>
      </c>
      <c r="BD116" s="1">
        <v>16474</v>
      </c>
      <c r="BE116" s="1">
        <v>14834</v>
      </c>
      <c r="BF116" s="1">
        <v>9672</v>
      </c>
      <c r="BG116" s="1">
        <v>6342</v>
      </c>
      <c r="BI116" s="1">
        <v>24153</v>
      </c>
      <c r="BJ116" s="1">
        <v>18276</v>
      </c>
      <c r="BM116" s="1">
        <v>19530</v>
      </c>
      <c r="BN116" s="1">
        <v>10617</v>
      </c>
      <c r="BO116" s="1">
        <v>21594</v>
      </c>
      <c r="BQ116" s="1">
        <v>16529</v>
      </c>
      <c r="BS116" s="1">
        <v>15283</v>
      </c>
      <c r="BU116" s="1">
        <v>15051</v>
      </c>
      <c r="BZ116" s="1">
        <v>23030</v>
      </c>
      <c r="CE116" s="1">
        <v>14684</v>
      </c>
      <c r="CG116" s="1">
        <v>23060</v>
      </c>
      <c r="CI116" s="1">
        <v>7894</v>
      </c>
      <c r="CM116" s="1">
        <v>21997</v>
      </c>
      <c r="CO116" s="1">
        <v>14272</v>
      </c>
      <c r="CQ116" s="1">
        <v>17919</v>
      </c>
      <c r="CT116" s="1">
        <v>5604</v>
      </c>
      <c r="CU116" s="1">
        <v>19558</v>
      </c>
      <c r="CV116" s="1">
        <v>25977</v>
      </c>
      <c r="CY116" s="4">
        <f t="shared" si="109"/>
        <v>1.8888916193978333E-3</v>
      </c>
      <c r="CZ116" s="213">
        <f t="shared" ref="CZ116:CZ152" si="115">IF(A116="","",SUM(AE116:CX116))</f>
        <v>896925</v>
      </c>
      <c r="DA116" s="2"/>
      <c r="DD116" s="1">
        <v>16408</v>
      </c>
      <c r="DE116" s="1">
        <v>11663</v>
      </c>
      <c r="DF116" s="1">
        <v>12912</v>
      </c>
      <c r="DG116" s="1">
        <v>11464</v>
      </c>
      <c r="DH116" s="1">
        <v>73184</v>
      </c>
      <c r="DJ116" s="1">
        <v>81678</v>
      </c>
      <c r="DK116" s="1">
        <v>10150</v>
      </c>
      <c r="DL116" s="1">
        <v>15223</v>
      </c>
      <c r="DM116" s="1">
        <v>18850</v>
      </c>
      <c r="DN116" s="1">
        <v>14645</v>
      </c>
      <c r="DO116" s="1">
        <v>9426</v>
      </c>
      <c r="DP116" s="1">
        <v>20096</v>
      </c>
      <c r="DQ116" s="1">
        <v>15583</v>
      </c>
      <c r="DR116" s="1">
        <v>16677</v>
      </c>
      <c r="DS116" s="1">
        <v>9438</v>
      </c>
      <c r="DT116" s="1">
        <v>7776</v>
      </c>
      <c r="DU116" s="1">
        <v>13971</v>
      </c>
      <c r="DW116" s="1">
        <f t="shared" ref="DW116:DW152" si="116">IF(A116="","",SUM(DC116:DV116))</f>
        <v>359144</v>
      </c>
      <c r="DX116" s="2"/>
      <c r="DZ116" s="1">
        <v>1163</v>
      </c>
      <c r="EE116" s="1">
        <v>13141</v>
      </c>
      <c r="EF116" s="1">
        <v>12718</v>
      </c>
      <c r="EJ116" s="1">
        <f t="shared" si="112"/>
        <v>27022</v>
      </c>
      <c r="EK116" s="5"/>
      <c r="EO116" s="2"/>
      <c r="EP116" s="1">
        <f t="shared" si="113"/>
        <v>1570265</v>
      </c>
      <c r="EQ116" s="468" t="s">
        <v>1</v>
      </c>
      <c r="ER116"/>
      <c r="HC116" s="4" t="e">
        <f t="shared" si="79"/>
        <v>#DIV/0!</v>
      </c>
      <c r="HD116" s="213">
        <f t="shared" si="86"/>
        <v>0</v>
      </c>
      <c r="HE116" s="2"/>
      <c r="KZ116" s="4" t="e">
        <f t="shared" si="80"/>
        <v>#DIV/0!</v>
      </c>
      <c r="LA116" s="8">
        <f t="shared" si="97"/>
        <v>0</v>
      </c>
      <c r="LB116" s="2"/>
      <c r="NR116" s="4" t="e">
        <f t="shared" si="81"/>
        <v>#DIV/0!</v>
      </c>
      <c r="NS116" s="8">
        <f t="shared" si="114"/>
        <v>0</v>
      </c>
      <c r="NT116" s="2"/>
      <c r="OE116" s="4" t="e">
        <f t="shared" si="82"/>
        <v>#DIV/0!</v>
      </c>
      <c r="OF116" s="213">
        <f t="shared" si="107"/>
        <v>0</v>
      </c>
      <c r="OT116" s="37"/>
      <c r="OU116" s="126">
        <f t="shared" si="98"/>
        <v>1184099</v>
      </c>
      <c r="OV116" s="141">
        <f t="shared" si="108"/>
        <v>2.3694235164649115E-3</v>
      </c>
      <c r="OW116" s="139">
        <f>IF(A116="","",SUM(Z$17:Z116))</f>
        <v>20000</v>
      </c>
      <c r="OX116" s="139">
        <f t="shared" si="87"/>
        <v>1204099</v>
      </c>
      <c r="OY116" s="393">
        <f t="shared" si="88"/>
        <v>0.68738447481673626</v>
      </c>
      <c r="OZ116" s="140">
        <f t="shared" si="99"/>
        <v>0</v>
      </c>
      <c r="PA116" s="394" t="e">
        <f t="shared" si="110"/>
        <v>#DIV/0!</v>
      </c>
      <c r="PB116" s="130">
        <f>IF(A116="","",SUM(HB$17:HB116)+SUM(KY$17:KY116))</f>
        <v>115756.47</v>
      </c>
      <c r="PC116" s="131">
        <f t="shared" si="89"/>
        <v>115756.47</v>
      </c>
      <c r="PD116" s="393">
        <f t="shared" si="90"/>
        <v>-0.82474975057568201</v>
      </c>
      <c r="PE116" s="133">
        <f t="shared" si="100"/>
        <v>0</v>
      </c>
      <c r="PF116" s="394" t="e">
        <f t="shared" si="102"/>
        <v>#DIV/0!</v>
      </c>
      <c r="PG116" s="133">
        <f t="shared" si="101"/>
        <v>1184099</v>
      </c>
      <c r="PH116" s="394" t="str">
        <f t="shared" si="103"/>
        <v/>
      </c>
      <c r="PI116" s="135">
        <f t="shared" si="91"/>
        <v>1184099</v>
      </c>
      <c r="PJ116" s="395">
        <f t="shared" si="104"/>
        <v>2.3694235164649115E-3</v>
      </c>
      <c r="PK116" s="396">
        <f t="shared" si="105"/>
        <v>-0.3652556937271707</v>
      </c>
      <c r="PL116" s="137">
        <f t="shared" si="92"/>
        <v>135756.47</v>
      </c>
      <c r="PM116" s="9">
        <f t="shared" si="93"/>
        <v>1319855.47</v>
      </c>
      <c r="PN116" s="397">
        <f t="shared" si="94"/>
        <v>-3.9483396525751231E-2</v>
      </c>
      <c r="PO116" s="86">
        <f>IF(PI116="","",MAX(PI$15:PI116))</f>
        <v>1943067</v>
      </c>
      <c r="PP116" s="398">
        <f t="shared" si="106"/>
        <v>-0.64096667592827961</v>
      </c>
      <c r="PR116" s="399" t="s">
        <v>1</v>
      </c>
    </row>
    <row r="117" spans="1:434" s="1" customFormat="1" ht="16" customHeight="1" x14ac:dyDescent="0.45">
      <c r="A117" s="193">
        <v>45900</v>
      </c>
      <c r="AA117" s="4">
        <f t="shared" si="78"/>
        <v>-1</v>
      </c>
      <c r="AB117" s="213">
        <f t="shared" si="95"/>
        <v>0</v>
      </c>
      <c r="AC117" s="2"/>
      <c r="CY117" s="4">
        <f t="shared" si="109"/>
        <v>-1</v>
      </c>
      <c r="CZ117" s="213">
        <f t="shared" si="115"/>
        <v>0</v>
      </c>
      <c r="DA117" s="2"/>
      <c r="DW117" s="1">
        <f t="shared" si="116"/>
        <v>0</v>
      </c>
      <c r="DX117" s="2"/>
      <c r="EJ117" s="1">
        <f t="shared" si="112"/>
        <v>0</v>
      </c>
      <c r="EK117" s="5"/>
      <c r="EO117" s="2"/>
      <c r="EP117" s="1">
        <f t="shared" si="113"/>
        <v>0</v>
      </c>
      <c r="EQ117" s="468" t="s">
        <v>1</v>
      </c>
      <c r="ER117"/>
      <c r="HC117" s="4" t="e">
        <f t="shared" si="79"/>
        <v>#DIV/0!</v>
      </c>
      <c r="HD117" s="213">
        <f t="shared" si="86"/>
        <v>0</v>
      </c>
      <c r="HE117" s="2"/>
      <c r="KZ117" s="4" t="e">
        <f t="shared" si="80"/>
        <v>#DIV/0!</v>
      </c>
      <c r="LA117" s="8">
        <f t="shared" si="97"/>
        <v>0</v>
      </c>
      <c r="LB117" s="2"/>
      <c r="NR117" s="4" t="e">
        <f t="shared" si="81"/>
        <v>#DIV/0!</v>
      </c>
      <c r="NS117" s="8">
        <f t="shared" si="114"/>
        <v>0</v>
      </c>
      <c r="NT117" s="2"/>
      <c r="OE117" s="4" t="e">
        <f t="shared" si="82"/>
        <v>#DIV/0!</v>
      </c>
      <c r="OF117" s="213">
        <f t="shared" si="107"/>
        <v>0</v>
      </c>
      <c r="OT117" s="37"/>
      <c r="OU117" s="126">
        <f t="shared" si="98"/>
        <v>0</v>
      </c>
      <c r="OV117" s="141">
        <f t="shared" si="108"/>
        <v>-1</v>
      </c>
      <c r="OW117" s="139">
        <f>IF(A117="","",SUM(Z$17:Z117))</f>
        <v>20000</v>
      </c>
      <c r="OX117" s="139">
        <f t="shared" si="87"/>
        <v>20000</v>
      </c>
      <c r="OY117" s="393">
        <f t="shared" si="88"/>
        <v>-0.97197266213464617</v>
      </c>
      <c r="OZ117" s="140">
        <f t="shared" si="99"/>
        <v>0</v>
      </c>
      <c r="PA117" s="394" t="e">
        <f t="shared" si="110"/>
        <v>#DIV/0!</v>
      </c>
      <c r="PB117" s="130">
        <f>IF(A117="","",SUM(HB$17:HB117)+SUM(KY$17:KY117))</f>
        <v>115756.47</v>
      </c>
      <c r="PC117" s="131">
        <f t="shared" si="89"/>
        <v>115756.47</v>
      </c>
      <c r="PD117" s="393">
        <f t="shared" si="90"/>
        <v>-0.82474975057568201</v>
      </c>
      <c r="PE117" s="133">
        <f t="shared" si="100"/>
        <v>0</v>
      </c>
      <c r="PF117" s="394" t="e">
        <f t="shared" si="102"/>
        <v>#DIV/0!</v>
      </c>
      <c r="PG117" s="133">
        <f t="shared" si="101"/>
        <v>0</v>
      </c>
      <c r="PH117" s="394" t="str">
        <f t="shared" si="103"/>
        <v/>
      </c>
      <c r="PI117" s="135">
        <f t="shared" si="91"/>
        <v>0</v>
      </c>
      <c r="PJ117" s="395">
        <f t="shared" si="104"/>
        <v>-1</v>
      </c>
      <c r="PK117" s="396">
        <f t="shared" si="105"/>
        <v>-1</v>
      </c>
      <c r="PL117" s="137">
        <f t="shared" si="92"/>
        <v>135756.47</v>
      </c>
      <c r="PM117" s="9">
        <f t="shared" si="93"/>
        <v>135756.47</v>
      </c>
      <c r="PN117" s="397">
        <f t="shared" si="94"/>
        <v>-0.90120407390965795</v>
      </c>
      <c r="PO117" s="86">
        <f>IF(PI117="","",MAX(PI$15:PI117))</f>
        <v>1943067</v>
      </c>
      <c r="PP117" s="398" t="e">
        <f t="shared" si="106"/>
        <v>#DIV/0!</v>
      </c>
      <c r="PR117" s="399" t="s">
        <v>1</v>
      </c>
    </row>
    <row r="118" spans="1:434" s="1" customFormat="1" ht="16" customHeight="1" x14ac:dyDescent="0.45">
      <c r="A118" s="193"/>
      <c r="AA118" s="4" t="str">
        <f t="shared" si="78"/>
        <v/>
      </c>
      <c r="AB118" s="213" t="str">
        <f t="shared" si="95"/>
        <v/>
      </c>
      <c r="AC118" s="2"/>
      <c r="CY118" s="4" t="str">
        <f t="shared" si="109"/>
        <v/>
      </c>
      <c r="CZ118" s="213" t="str">
        <f t="shared" si="115"/>
        <v/>
      </c>
      <c r="DA118" s="2"/>
      <c r="DW118" s="1" t="str">
        <f t="shared" si="116"/>
        <v/>
      </c>
      <c r="DX118" s="2"/>
      <c r="EJ118" s="1" t="str">
        <f t="shared" si="112"/>
        <v/>
      </c>
      <c r="EK118" s="5"/>
      <c r="EO118" s="2"/>
      <c r="EP118" s="1" t="str">
        <f t="shared" si="113"/>
        <v/>
      </c>
      <c r="EQ118" s="468" t="s">
        <v>1</v>
      </c>
      <c r="ER118"/>
      <c r="HC118" s="4" t="str">
        <f t="shared" si="79"/>
        <v/>
      </c>
      <c r="HD118" s="213" t="str">
        <f t="shared" si="86"/>
        <v/>
      </c>
      <c r="HE118" s="2"/>
      <c r="KZ118" s="4" t="str">
        <f t="shared" si="80"/>
        <v/>
      </c>
      <c r="LA118" s="8" t="str">
        <f t="shared" si="97"/>
        <v/>
      </c>
      <c r="LB118" s="2"/>
      <c r="NR118" s="4" t="str">
        <f t="shared" si="81"/>
        <v/>
      </c>
      <c r="NS118" s="8" t="str">
        <f t="shared" si="114"/>
        <v/>
      </c>
      <c r="NT118" s="2"/>
      <c r="OE118" s="4" t="str">
        <f t="shared" si="82"/>
        <v/>
      </c>
      <c r="OF118" s="213" t="str">
        <f t="shared" si="107"/>
        <v/>
      </c>
      <c r="OT118" s="37"/>
      <c r="OU118" s="126" t="str">
        <f t="shared" si="98"/>
        <v/>
      </c>
      <c r="OV118" s="141" t="str">
        <f t="shared" si="108"/>
        <v/>
      </c>
      <c r="OW118" s="139" t="str">
        <f>IF(A118="","",SUM(Z$17:Z118))</f>
        <v/>
      </c>
      <c r="OX118" s="139" t="str">
        <f t="shared" si="87"/>
        <v/>
      </c>
      <c r="OY118" s="393" t="str">
        <f t="shared" si="88"/>
        <v/>
      </c>
      <c r="OZ118" s="140" t="str">
        <f t="shared" si="99"/>
        <v/>
      </c>
      <c r="PA118" s="394" t="str">
        <f t="shared" si="110"/>
        <v/>
      </c>
      <c r="PB118" s="130" t="str">
        <f>IF(A118="","",SUM(HB$17:HB118)+SUM(KY$17:KY118))</f>
        <v/>
      </c>
      <c r="PC118" s="131" t="str">
        <f t="shared" si="89"/>
        <v/>
      </c>
      <c r="PD118" s="393" t="str">
        <f t="shared" si="90"/>
        <v/>
      </c>
      <c r="PE118" s="133" t="str">
        <f t="shared" si="100"/>
        <v/>
      </c>
      <c r="PF118" s="394" t="str">
        <f t="shared" si="102"/>
        <v/>
      </c>
      <c r="PG118" s="133" t="str">
        <f t="shared" si="101"/>
        <v/>
      </c>
      <c r="PH118" s="394" t="str">
        <f t="shared" si="103"/>
        <v/>
      </c>
      <c r="PI118" s="135" t="str">
        <f t="shared" si="91"/>
        <v/>
      </c>
      <c r="PJ118" s="395" t="str">
        <f t="shared" si="104"/>
        <v/>
      </c>
      <c r="PK118" s="396" t="str">
        <f t="shared" si="105"/>
        <v/>
      </c>
      <c r="PL118" s="137" t="str">
        <f t="shared" si="92"/>
        <v/>
      </c>
      <c r="PM118" s="9" t="str">
        <f t="shared" si="93"/>
        <v/>
      </c>
      <c r="PN118" s="397" t="str">
        <f t="shared" si="94"/>
        <v/>
      </c>
      <c r="PO118" s="86" t="str">
        <f>IF(PI118="","",MAX(PI$15:PI118))</f>
        <v/>
      </c>
      <c r="PP118" s="398" t="str">
        <f t="shared" si="106"/>
        <v/>
      </c>
      <c r="PR118" s="399" t="s">
        <v>1</v>
      </c>
    </row>
    <row r="119" spans="1:434" s="1" customFormat="1" ht="16" customHeight="1" x14ac:dyDescent="0.45">
      <c r="A119" s="193"/>
      <c r="AA119" s="4" t="str">
        <f t="shared" si="78"/>
        <v/>
      </c>
      <c r="AB119" s="213" t="str">
        <f t="shared" si="95"/>
        <v/>
      </c>
      <c r="AC119" s="2"/>
      <c r="CY119" s="4" t="str">
        <f t="shared" si="109"/>
        <v/>
      </c>
      <c r="CZ119" s="213" t="str">
        <f t="shared" si="115"/>
        <v/>
      </c>
      <c r="DA119" s="2"/>
      <c r="DW119" s="1" t="str">
        <f t="shared" si="116"/>
        <v/>
      </c>
      <c r="DX119" s="2"/>
      <c r="EJ119" s="1" t="str">
        <f t="shared" si="112"/>
        <v/>
      </c>
      <c r="EK119" s="5"/>
      <c r="EO119" s="2"/>
      <c r="EP119" s="1" t="str">
        <f t="shared" si="113"/>
        <v/>
      </c>
      <c r="EQ119" s="468" t="s">
        <v>1</v>
      </c>
      <c r="ER119"/>
      <c r="HC119" s="4" t="str">
        <f t="shared" si="79"/>
        <v/>
      </c>
      <c r="HD119" s="213" t="str">
        <f t="shared" si="86"/>
        <v/>
      </c>
      <c r="HE119" s="2"/>
      <c r="KZ119" s="4" t="str">
        <f t="shared" si="80"/>
        <v/>
      </c>
      <c r="LA119" s="8" t="str">
        <f t="shared" si="97"/>
        <v/>
      </c>
      <c r="LB119" s="2"/>
      <c r="NR119" s="4" t="str">
        <f t="shared" si="81"/>
        <v/>
      </c>
      <c r="NS119" s="8" t="str">
        <f t="shared" si="114"/>
        <v/>
      </c>
      <c r="NT119" s="2"/>
      <c r="OE119" s="4" t="str">
        <f t="shared" si="82"/>
        <v/>
      </c>
      <c r="OF119" s="213" t="str">
        <f t="shared" si="107"/>
        <v/>
      </c>
      <c r="OT119" s="37"/>
      <c r="OU119" s="126" t="str">
        <f t="shared" si="98"/>
        <v/>
      </c>
      <c r="OV119" s="141" t="str">
        <f t="shared" si="108"/>
        <v/>
      </c>
      <c r="OW119" s="139" t="str">
        <f>IF(A119="","",SUM(Z$17:Z119))</f>
        <v/>
      </c>
      <c r="OX119" s="139" t="str">
        <f t="shared" si="87"/>
        <v/>
      </c>
      <c r="OY119" s="393" t="str">
        <f t="shared" si="88"/>
        <v/>
      </c>
      <c r="OZ119" s="140" t="str">
        <f t="shared" si="99"/>
        <v/>
      </c>
      <c r="PA119" s="394" t="str">
        <f t="shared" si="110"/>
        <v/>
      </c>
      <c r="PB119" s="130" t="str">
        <f>IF(A119="","",SUM(HB$17:HB119)+SUM(KY$17:KY119))</f>
        <v/>
      </c>
      <c r="PC119" s="131" t="str">
        <f t="shared" si="89"/>
        <v/>
      </c>
      <c r="PD119" s="393" t="str">
        <f t="shared" si="90"/>
        <v/>
      </c>
      <c r="PE119" s="133" t="str">
        <f t="shared" si="100"/>
        <v/>
      </c>
      <c r="PF119" s="394" t="str">
        <f t="shared" si="102"/>
        <v/>
      </c>
      <c r="PG119" s="133" t="str">
        <f t="shared" si="101"/>
        <v/>
      </c>
      <c r="PH119" s="394" t="str">
        <f t="shared" si="103"/>
        <v/>
      </c>
      <c r="PI119" s="135" t="str">
        <f t="shared" si="91"/>
        <v/>
      </c>
      <c r="PJ119" s="395" t="str">
        <f t="shared" si="104"/>
        <v/>
      </c>
      <c r="PK119" s="396" t="str">
        <f t="shared" si="105"/>
        <v/>
      </c>
      <c r="PL119" s="137" t="str">
        <f t="shared" si="92"/>
        <v/>
      </c>
      <c r="PM119" s="9" t="str">
        <f t="shared" si="93"/>
        <v/>
      </c>
      <c r="PN119" s="397" t="str">
        <f t="shared" si="94"/>
        <v/>
      </c>
      <c r="PO119" s="86" t="str">
        <f>IF(PI119="","",MAX(PI$15:PI119))</f>
        <v/>
      </c>
      <c r="PP119" s="398" t="str">
        <f t="shared" si="106"/>
        <v/>
      </c>
      <c r="PR119" s="399" t="s">
        <v>1</v>
      </c>
    </row>
    <row r="120" spans="1:434" s="1" customFormat="1" ht="16" customHeight="1" x14ac:dyDescent="0.45">
      <c r="A120" s="193"/>
      <c r="AA120" s="4" t="str">
        <f t="shared" si="78"/>
        <v/>
      </c>
      <c r="AB120" s="213" t="str">
        <f t="shared" si="95"/>
        <v/>
      </c>
      <c r="AC120" s="2"/>
      <c r="CY120" s="4" t="str">
        <f t="shared" si="109"/>
        <v/>
      </c>
      <c r="CZ120" s="213" t="str">
        <f t="shared" si="115"/>
        <v/>
      </c>
      <c r="DA120" s="2"/>
      <c r="DW120" s="1" t="str">
        <f t="shared" si="116"/>
        <v/>
      </c>
      <c r="DX120" s="2"/>
      <c r="EJ120" s="1" t="str">
        <f t="shared" si="112"/>
        <v/>
      </c>
      <c r="EK120" s="5"/>
      <c r="EO120" s="2"/>
      <c r="EP120" s="1" t="str">
        <f t="shared" si="113"/>
        <v/>
      </c>
      <c r="EQ120" s="468" t="s">
        <v>1</v>
      </c>
      <c r="ER120"/>
      <c r="HC120" s="4" t="str">
        <f t="shared" si="79"/>
        <v/>
      </c>
      <c r="HD120" s="213" t="str">
        <f t="shared" si="86"/>
        <v/>
      </c>
      <c r="HE120" s="2"/>
      <c r="KZ120" s="4" t="str">
        <f t="shared" si="80"/>
        <v/>
      </c>
      <c r="LA120" s="8" t="str">
        <f t="shared" si="97"/>
        <v/>
      </c>
      <c r="LB120" s="2"/>
      <c r="NR120" s="4" t="str">
        <f t="shared" si="81"/>
        <v/>
      </c>
      <c r="NS120" s="8" t="str">
        <f t="shared" si="114"/>
        <v/>
      </c>
      <c r="NT120" s="2"/>
      <c r="OE120" s="4" t="str">
        <f t="shared" si="82"/>
        <v/>
      </c>
      <c r="OF120" s="213" t="str">
        <f t="shared" si="107"/>
        <v/>
      </c>
      <c r="OT120" s="37"/>
      <c r="OU120" s="126" t="str">
        <f t="shared" si="98"/>
        <v/>
      </c>
      <c r="OV120" s="141" t="str">
        <f t="shared" si="108"/>
        <v/>
      </c>
      <c r="OW120" s="139" t="str">
        <f>IF(A120="","",SUM(Z$17:Z120))</f>
        <v/>
      </c>
      <c r="OX120" s="139" t="str">
        <f t="shared" si="87"/>
        <v/>
      </c>
      <c r="OY120" s="393" t="str">
        <f t="shared" si="88"/>
        <v/>
      </c>
      <c r="OZ120" s="140" t="str">
        <f t="shared" si="99"/>
        <v/>
      </c>
      <c r="PA120" s="394" t="str">
        <f t="shared" si="110"/>
        <v/>
      </c>
      <c r="PB120" s="130" t="str">
        <f>IF(A120="","",SUM(HB$17:HB120)+SUM(KY$17:KY120))</f>
        <v/>
      </c>
      <c r="PC120" s="131" t="str">
        <f t="shared" si="89"/>
        <v/>
      </c>
      <c r="PD120" s="393" t="str">
        <f t="shared" si="90"/>
        <v/>
      </c>
      <c r="PE120" s="133" t="str">
        <f t="shared" si="100"/>
        <v/>
      </c>
      <c r="PF120" s="394" t="str">
        <f t="shared" si="102"/>
        <v/>
      </c>
      <c r="PG120" s="133" t="str">
        <f t="shared" si="101"/>
        <v/>
      </c>
      <c r="PH120" s="394" t="str">
        <f t="shared" si="103"/>
        <v/>
      </c>
      <c r="PI120" s="135" t="str">
        <f t="shared" si="91"/>
        <v/>
      </c>
      <c r="PJ120" s="395" t="str">
        <f t="shared" si="104"/>
        <v/>
      </c>
      <c r="PK120" s="396" t="str">
        <f t="shared" si="105"/>
        <v/>
      </c>
      <c r="PL120" s="137" t="str">
        <f t="shared" si="92"/>
        <v/>
      </c>
      <c r="PM120" s="9" t="str">
        <f t="shared" si="93"/>
        <v/>
      </c>
      <c r="PN120" s="397" t="str">
        <f t="shared" si="94"/>
        <v/>
      </c>
      <c r="PO120" s="86" t="str">
        <f>IF(PI120="","",MAX(PI$15:PI120))</f>
        <v/>
      </c>
      <c r="PP120" s="398" t="str">
        <f t="shared" si="106"/>
        <v/>
      </c>
      <c r="PR120" s="399" t="s">
        <v>1</v>
      </c>
    </row>
    <row r="121" spans="1:434" s="1" customFormat="1" ht="16" customHeight="1" x14ac:dyDescent="0.45">
      <c r="A121" s="193"/>
      <c r="AA121" s="4" t="str">
        <f t="shared" si="78"/>
        <v/>
      </c>
      <c r="AB121" s="213" t="str">
        <f t="shared" si="95"/>
        <v/>
      </c>
      <c r="AC121" s="2"/>
      <c r="CY121" s="4" t="str">
        <f t="shared" si="109"/>
        <v/>
      </c>
      <c r="CZ121" s="213" t="str">
        <f t="shared" si="115"/>
        <v/>
      </c>
      <c r="DA121" s="2"/>
      <c r="DW121" s="1" t="str">
        <f t="shared" si="116"/>
        <v/>
      </c>
      <c r="DX121" s="2"/>
      <c r="EJ121" s="1" t="str">
        <f t="shared" si="112"/>
        <v/>
      </c>
      <c r="EK121" s="5"/>
      <c r="EO121" s="2"/>
      <c r="EP121" s="1" t="str">
        <f t="shared" si="113"/>
        <v/>
      </c>
      <c r="EQ121" s="468" t="s">
        <v>1</v>
      </c>
      <c r="ER121"/>
      <c r="HC121" s="4" t="str">
        <f t="shared" si="79"/>
        <v/>
      </c>
      <c r="HD121" s="213" t="str">
        <f t="shared" si="86"/>
        <v/>
      </c>
      <c r="HE121" s="2"/>
      <c r="KZ121" s="4" t="str">
        <f t="shared" si="80"/>
        <v/>
      </c>
      <c r="LA121" s="8" t="str">
        <f t="shared" si="97"/>
        <v/>
      </c>
      <c r="LB121" s="2"/>
      <c r="NR121" s="4" t="str">
        <f t="shared" si="81"/>
        <v/>
      </c>
      <c r="NS121" s="8" t="str">
        <f t="shared" si="114"/>
        <v/>
      </c>
      <c r="NT121" s="2"/>
      <c r="OE121" s="4" t="str">
        <f t="shared" si="82"/>
        <v/>
      </c>
      <c r="OF121" s="213" t="str">
        <f t="shared" si="107"/>
        <v/>
      </c>
      <c r="OT121" s="37"/>
      <c r="OU121" s="126" t="str">
        <f t="shared" si="98"/>
        <v/>
      </c>
      <c r="OV121" s="141" t="str">
        <f t="shared" si="108"/>
        <v/>
      </c>
      <c r="OW121" s="139" t="str">
        <f>IF(A121="","",SUM(Z$17:Z121))</f>
        <v/>
      </c>
      <c r="OX121" s="139" t="str">
        <f t="shared" si="87"/>
        <v/>
      </c>
      <c r="OY121" s="393" t="str">
        <f t="shared" si="88"/>
        <v/>
      </c>
      <c r="OZ121" s="140" t="str">
        <f t="shared" si="99"/>
        <v/>
      </c>
      <c r="PA121" s="394" t="str">
        <f t="shared" si="110"/>
        <v/>
      </c>
      <c r="PB121" s="130" t="str">
        <f>IF(A121="","",SUM(HB$17:HB121)+SUM(KY$17:KY121))</f>
        <v/>
      </c>
      <c r="PC121" s="131" t="str">
        <f t="shared" si="89"/>
        <v/>
      </c>
      <c r="PD121" s="393" t="str">
        <f t="shared" si="90"/>
        <v/>
      </c>
      <c r="PE121" s="133" t="str">
        <f t="shared" si="100"/>
        <v/>
      </c>
      <c r="PF121" s="394" t="str">
        <f t="shared" si="102"/>
        <v/>
      </c>
      <c r="PG121" s="133" t="str">
        <f t="shared" si="101"/>
        <v/>
      </c>
      <c r="PH121" s="394" t="str">
        <f t="shared" si="103"/>
        <v/>
      </c>
      <c r="PI121" s="135" t="str">
        <f t="shared" si="91"/>
        <v/>
      </c>
      <c r="PJ121" s="395" t="str">
        <f t="shared" si="104"/>
        <v/>
      </c>
      <c r="PK121" s="396" t="str">
        <f t="shared" si="105"/>
        <v/>
      </c>
      <c r="PL121" s="137" t="str">
        <f t="shared" si="92"/>
        <v/>
      </c>
      <c r="PM121" s="9" t="str">
        <f t="shared" si="93"/>
        <v/>
      </c>
      <c r="PN121" s="397" t="str">
        <f t="shared" si="94"/>
        <v/>
      </c>
      <c r="PO121" s="86" t="str">
        <f>IF(PI121="","",MAX(PI$15:PI121))</f>
        <v/>
      </c>
      <c r="PP121" s="398" t="str">
        <f t="shared" si="106"/>
        <v/>
      </c>
      <c r="PR121" s="399" t="s">
        <v>1</v>
      </c>
    </row>
    <row r="122" spans="1:434" s="1" customFormat="1" ht="16" customHeight="1" x14ac:dyDescent="0.45">
      <c r="A122" s="193"/>
      <c r="AA122" s="4" t="str">
        <f t="shared" si="78"/>
        <v/>
      </c>
      <c r="AB122" s="213" t="str">
        <f t="shared" si="95"/>
        <v/>
      </c>
      <c r="AC122" s="2"/>
      <c r="CY122" s="4" t="str">
        <f t="shared" si="109"/>
        <v/>
      </c>
      <c r="CZ122" s="213" t="str">
        <f t="shared" si="115"/>
        <v/>
      </c>
      <c r="DA122" s="2"/>
      <c r="DW122" s="1" t="str">
        <f t="shared" si="116"/>
        <v/>
      </c>
      <c r="DX122" s="2"/>
      <c r="EJ122" s="1" t="str">
        <f t="shared" si="112"/>
        <v/>
      </c>
      <c r="EK122" s="5"/>
      <c r="EO122" s="2"/>
      <c r="EP122" s="1" t="str">
        <f t="shared" si="113"/>
        <v/>
      </c>
      <c r="EQ122" s="468" t="s">
        <v>1</v>
      </c>
      <c r="ER122"/>
      <c r="HC122" s="4" t="str">
        <f t="shared" si="79"/>
        <v/>
      </c>
      <c r="HD122" s="213" t="str">
        <f t="shared" si="86"/>
        <v/>
      </c>
      <c r="HE122" s="2"/>
      <c r="KZ122" s="4" t="str">
        <f t="shared" si="80"/>
        <v/>
      </c>
      <c r="LA122" s="8" t="str">
        <f t="shared" si="97"/>
        <v/>
      </c>
      <c r="LB122" s="2"/>
      <c r="NR122" s="4" t="str">
        <f t="shared" si="81"/>
        <v/>
      </c>
      <c r="NS122" s="8" t="str">
        <f t="shared" si="114"/>
        <v/>
      </c>
      <c r="NT122" s="2"/>
      <c r="OE122" s="4" t="str">
        <f t="shared" si="82"/>
        <v/>
      </c>
      <c r="OF122" s="213" t="str">
        <f t="shared" si="107"/>
        <v/>
      </c>
      <c r="OT122" s="37"/>
      <c r="OU122" s="126" t="str">
        <f t="shared" si="98"/>
        <v/>
      </c>
      <c r="OV122" s="141" t="str">
        <f t="shared" si="108"/>
        <v/>
      </c>
      <c r="OW122" s="139" t="str">
        <f>IF(A122="","",SUM(Z$17:Z122))</f>
        <v/>
      </c>
      <c r="OX122" s="139" t="str">
        <f t="shared" si="87"/>
        <v/>
      </c>
      <c r="OY122" s="393" t="str">
        <f t="shared" si="88"/>
        <v/>
      </c>
      <c r="OZ122" s="140" t="str">
        <f t="shared" si="99"/>
        <v/>
      </c>
      <c r="PA122" s="394" t="str">
        <f t="shared" si="110"/>
        <v/>
      </c>
      <c r="PB122" s="130" t="str">
        <f>IF(A122="","",SUM(HB$17:HB122)+SUM(KY$17:KY122))</f>
        <v/>
      </c>
      <c r="PC122" s="131" t="str">
        <f t="shared" si="89"/>
        <v/>
      </c>
      <c r="PD122" s="393" t="str">
        <f t="shared" si="90"/>
        <v/>
      </c>
      <c r="PE122" s="133" t="str">
        <f t="shared" si="100"/>
        <v/>
      </c>
      <c r="PF122" s="394" t="str">
        <f t="shared" si="102"/>
        <v/>
      </c>
      <c r="PG122" s="133" t="str">
        <f t="shared" si="101"/>
        <v/>
      </c>
      <c r="PH122" s="394" t="str">
        <f t="shared" si="103"/>
        <v/>
      </c>
      <c r="PI122" s="135" t="str">
        <f t="shared" si="91"/>
        <v/>
      </c>
      <c r="PJ122" s="395" t="str">
        <f t="shared" si="104"/>
        <v/>
      </c>
      <c r="PK122" s="396" t="str">
        <f t="shared" si="105"/>
        <v/>
      </c>
      <c r="PL122" s="137" t="str">
        <f t="shared" si="92"/>
        <v/>
      </c>
      <c r="PM122" s="9" t="str">
        <f t="shared" si="93"/>
        <v/>
      </c>
      <c r="PN122" s="397" t="str">
        <f t="shared" si="94"/>
        <v/>
      </c>
      <c r="PO122" s="86" t="str">
        <f>IF(PI122="","",MAX(PI$15:PI122))</f>
        <v/>
      </c>
      <c r="PP122" s="398" t="str">
        <f t="shared" si="106"/>
        <v/>
      </c>
      <c r="PR122" s="399" t="s">
        <v>1</v>
      </c>
    </row>
    <row r="123" spans="1:434" s="1" customFormat="1" ht="16" customHeight="1" x14ac:dyDescent="0.45">
      <c r="A123" s="193"/>
      <c r="AA123" s="4" t="str">
        <f t="shared" si="78"/>
        <v/>
      </c>
      <c r="AB123" s="213" t="str">
        <f t="shared" si="95"/>
        <v/>
      </c>
      <c r="AC123" s="2"/>
      <c r="CY123" s="4" t="str">
        <f t="shared" si="109"/>
        <v/>
      </c>
      <c r="CZ123" s="213" t="str">
        <f t="shared" si="115"/>
        <v/>
      </c>
      <c r="DA123" s="2"/>
      <c r="DW123" s="1" t="str">
        <f t="shared" si="116"/>
        <v/>
      </c>
      <c r="DX123" s="2"/>
      <c r="EJ123" s="1" t="str">
        <f t="shared" si="112"/>
        <v/>
      </c>
      <c r="EK123" s="5"/>
      <c r="EO123" s="2"/>
      <c r="EP123" s="1" t="str">
        <f t="shared" si="113"/>
        <v/>
      </c>
      <c r="EQ123" s="468" t="s">
        <v>1</v>
      </c>
      <c r="ER123"/>
      <c r="HC123" s="4" t="str">
        <f t="shared" si="79"/>
        <v/>
      </c>
      <c r="HD123" s="213" t="str">
        <f t="shared" si="86"/>
        <v/>
      </c>
      <c r="HE123" s="2"/>
      <c r="KZ123" s="4" t="str">
        <f t="shared" si="80"/>
        <v/>
      </c>
      <c r="LA123" s="8" t="str">
        <f t="shared" si="97"/>
        <v/>
      </c>
      <c r="LB123" s="2"/>
      <c r="NR123" s="4" t="str">
        <f t="shared" si="81"/>
        <v/>
      </c>
      <c r="NS123" s="8" t="str">
        <f t="shared" si="114"/>
        <v/>
      </c>
      <c r="NT123" s="2"/>
      <c r="OE123" s="4" t="str">
        <f t="shared" si="82"/>
        <v/>
      </c>
      <c r="OF123" s="213" t="str">
        <f t="shared" si="107"/>
        <v/>
      </c>
      <c r="OT123" s="37"/>
      <c r="OU123" s="126" t="str">
        <f t="shared" si="98"/>
        <v/>
      </c>
      <c r="OV123" s="141" t="str">
        <f t="shared" si="108"/>
        <v/>
      </c>
      <c r="OW123" s="139" t="str">
        <f>IF(A123="","",SUM(Z$17:Z123))</f>
        <v/>
      </c>
      <c r="OX123" s="139" t="str">
        <f t="shared" si="87"/>
        <v/>
      </c>
      <c r="OY123" s="393" t="str">
        <f t="shared" si="88"/>
        <v/>
      </c>
      <c r="OZ123" s="140" t="str">
        <f t="shared" si="99"/>
        <v/>
      </c>
      <c r="PA123" s="394" t="str">
        <f t="shared" si="110"/>
        <v/>
      </c>
      <c r="PB123" s="130" t="str">
        <f>IF(A123="","",SUM(HB$17:HB123)+SUM(KY$17:KY123))</f>
        <v/>
      </c>
      <c r="PC123" s="131" t="str">
        <f t="shared" si="89"/>
        <v/>
      </c>
      <c r="PD123" s="393" t="str">
        <f t="shared" si="90"/>
        <v/>
      </c>
      <c r="PE123" s="133" t="str">
        <f t="shared" si="100"/>
        <v/>
      </c>
      <c r="PF123" s="394" t="str">
        <f t="shared" si="102"/>
        <v/>
      </c>
      <c r="PG123" s="133" t="str">
        <f t="shared" si="101"/>
        <v/>
      </c>
      <c r="PH123" s="394" t="str">
        <f t="shared" si="103"/>
        <v/>
      </c>
      <c r="PI123" s="135" t="str">
        <f t="shared" si="91"/>
        <v/>
      </c>
      <c r="PJ123" s="395" t="str">
        <f t="shared" si="104"/>
        <v/>
      </c>
      <c r="PK123" s="396" t="str">
        <f t="shared" si="105"/>
        <v/>
      </c>
      <c r="PL123" s="137" t="str">
        <f t="shared" si="92"/>
        <v/>
      </c>
      <c r="PM123" s="9" t="str">
        <f t="shared" si="93"/>
        <v/>
      </c>
      <c r="PN123" s="397" t="str">
        <f t="shared" si="94"/>
        <v/>
      </c>
      <c r="PO123" s="86" t="str">
        <f>IF(PI123="","",MAX(PI$15:PI123))</f>
        <v/>
      </c>
      <c r="PP123" s="398" t="str">
        <f t="shared" si="106"/>
        <v/>
      </c>
      <c r="PR123" s="399" t="s">
        <v>1</v>
      </c>
    </row>
    <row r="124" spans="1:434" s="184" customFormat="1" ht="16" customHeight="1" x14ac:dyDescent="0.45">
      <c r="A124" s="193"/>
      <c r="AA124" s="4" t="str">
        <f t="shared" si="78"/>
        <v/>
      </c>
      <c r="AB124" s="213" t="str">
        <f t="shared" si="95"/>
        <v/>
      </c>
      <c r="AC124" s="400"/>
      <c r="CY124" s="4" t="str">
        <f t="shared" si="109"/>
        <v/>
      </c>
      <c r="CZ124" s="213" t="str">
        <f t="shared" si="115"/>
        <v/>
      </c>
      <c r="DA124" s="400"/>
      <c r="DW124" s="1" t="str">
        <f t="shared" si="116"/>
        <v/>
      </c>
      <c r="DX124" s="400"/>
      <c r="DY124" s="1"/>
      <c r="DZ124" s="1"/>
      <c r="EA124" s="1"/>
      <c r="EB124" s="1"/>
      <c r="EC124" s="1"/>
      <c r="ED124" s="1"/>
      <c r="EE124" s="1"/>
      <c r="EF124" s="1"/>
      <c r="EG124" s="1"/>
      <c r="EH124" s="1"/>
      <c r="EI124" s="1"/>
      <c r="EJ124" s="1" t="str">
        <f t="shared" si="112"/>
        <v/>
      </c>
      <c r="EK124" s="419"/>
      <c r="EN124" s="1"/>
      <c r="EO124" s="400"/>
      <c r="EP124" s="1" t="str">
        <f t="shared" si="113"/>
        <v/>
      </c>
      <c r="EQ124" s="468" t="s">
        <v>1</v>
      </c>
      <c r="ER124"/>
      <c r="FR124" s="1"/>
      <c r="HC124" s="4" t="str">
        <f t="shared" si="79"/>
        <v/>
      </c>
      <c r="HD124" s="213" t="str">
        <f t="shared" si="86"/>
        <v/>
      </c>
      <c r="HE124" s="400"/>
      <c r="KZ124" s="4" t="str">
        <f t="shared" si="80"/>
        <v/>
      </c>
      <c r="LA124" s="8" t="str">
        <f t="shared" si="97"/>
        <v/>
      </c>
      <c r="LB124" s="400"/>
      <c r="NR124" s="4" t="str">
        <f t="shared" si="81"/>
        <v/>
      </c>
      <c r="NS124" s="8" t="str">
        <f t="shared" si="114"/>
        <v/>
      </c>
      <c r="NT124" s="400"/>
      <c r="OE124" s="4" t="str">
        <f t="shared" si="82"/>
        <v/>
      </c>
      <c r="OF124" s="213" t="str">
        <f t="shared" si="107"/>
        <v/>
      </c>
      <c r="OT124" s="37"/>
      <c r="OU124" s="126" t="str">
        <f t="shared" si="98"/>
        <v/>
      </c>
      <c r="OV124" s="141" t="str">
        <f t="shared" si="108"/>
        <v/>
      </c>
      <c r="OW124" s="139" t="str">
        <f>IF(A124="","",SUM(Z$17:Z124))</f>
        <v/>
      </c>
      <c r="OX124" s="139" t="str">
        <f t="shared" si="87"/>
        <v/>
      </c>
      <c r="OY124" s="393" t="str">
        <f t="shared" si="88"/>
        <v/>
      </c>
      <c r="OZ124" s="140" t="str">
        <f t="shared" si="99"/>
        <v/>
      </c>
      <c r="PA124" s="394" t="str">
        <f t="shared" si="110"/>
        <v/>
      </c>
      <c r="PB124" s="130" t="str">
        <f>IF(A124="","",SUM(HB$17:HB124)+SUM(KY$17:KY124))</f>
        <v/>
      </c>
      <c r="PC124" s="131" t="str">
        <f t="shared" si="89"/>
        <v/>
      </c>
      <c r="PD124" s="393" t="str">
        <f t="shared" si="90"/>
        <v/>
      </c>
      <c r="PE124" s="133" t="str">
        <f t="shared" si="100"/>
        <v/>
      </c>
      <c r="PF124" s="394" t="str">
        <f t="shared" si="102"/>
        <v/>
      </c>
      <c r="PG124" s="133" t="str">
        <f t="shared" si="101"/>
        <v/>
      </c>
      <c r="PH124" s="394" t="str">
        <f t="shared" si="103"/>
        <v/>
      </c>
      <c r="PI124" s="135" t="str">
        <f t="shared" si="91"/>
        <v/>
      </c>
      <c r="PJ124" s="395" t="str">
        <f t="shared" si="104"/>
        <v/>
      </c>
      <c r="PK124" s="396" t="str">
        <f t="shared" si="105"/>
        <v/>
      </c>
      <c r="PL124" s="137" t="str">
        <f t="shared" si="92"/>
        <v/>
      </c>
      <c r="PM124" s="9" t="str">
        <f t="shared" si="93"/>
        <v/>
      </c>
      <c r="PN124" s="397" t="str">
        <f t="shared" si="94"/>
        <v/>
      </c>
      <c r="PO124" s="86" t="str">
        <f>IF(PI124="","",MAX(PI$15:PI124))</f>
        <v/>
      </c>
      <c r="PP124" s="398" t="str">
        <f t="shared" si="106"/>
        <v/>
      </c>
      <c r="PR124" s="399" t="s">
        <v>1</v>
      </c>
    </row>
    <row r="125" spans="1:434" s="184" customFormat="1" ht="16" customHeight="1" x14ac:dyDescent="0.45">
      <c r="A125" s="193"/>
      <c r="AA125" s="4" t="str">
        <f t="shared" si="78"/>
        <v/>
      </c>
      <c r="AB125" s="213" t="str">
        <f t="shared" si="95"/>
        <v/>
      </c>
      <c r="AC125" s="400"/>
      <c r="CY125" s="4" t="str">
        <f t="shared" si="109"/>
        <v/>
      </c>
      <c r="CZ125" s="213" t="str">
        <f t="shared" si="115"/>
        <v/>
      </c>
      <c r="DA125" s="400"/>
      <c r="DW125" s="1" t="str">
        <f t="shared" si="116"/>
        <v/>
      </c>
      <c r="DX125" s="400"/>
      <c r="DY125" s="1"/>
      <c r="DZ125" s="1"/>
      <c r="EA125" s="1"/>
      <c r="EB125" s="1"/>
      <c r="EC125" s="1"/>
      <c r="ED125" s="1"/>
      <c r="EE125" s="1"/>
      <c r="EF125" s="1"/>
      <c r="EG125" s="1"/>
      <c r="EH125" s="1"/>
      <c r="EI125" s="1"/>
      <c r="EJ125" s="1" t="str">
        <f t="shared" si="112"/>
        <v/>
      </c>
      <c r="EK125" s="419"/>
      <c r="EN125" s="1"/>
      <c r="EO125" s="400"/>
      <c r="EP125" s="1" t="str">
        <f t="shared" si="113"/>
        <v/>
      </c>
      <c r="EQ125" s="468" t="s">
        <v>1</v>
      </c>
      <c r="ER125"/>
      <c r="FR125" s="1"/>
      <c r="HC125" s="4" t="str">
        <f t="shared" si="79"/>
        <v/>
      </c>
      <c r="HD125" s="213" t="str">
        <f t="shared" si="86"/>
        <v/>
      </c>
      <c r="HE125" s="400"/>
      <c r="KZ125" s="4" t="str">
        <f t="shared" si="80"/>
        <v/>
      </c>
      <c r="LA125" s="8" t="str">
        <f t="shared" si="97"/>
        <v/>
      </c>
      <c r="LB125" s="400"/>
      <c r="NR125" s="4" t="str">
        <f t="shared" si="81"/>
        <v/>
      </c>
      <c r="NS125" s="8" t="str">
        <f t="shared" si="114"/>
        <v/>
      </c>
      <c r="NT125" s="400"/>
      <c r="OE125" s="4" t="str">
        <f t="shared" si="82"/>
        <v/>
      </c>
      <c r="OF125" s="213" t="str">
        <f t="shared" si="107"/>
        <v/>
      </c>
      <c r="OT125" s="37"/>
      <c r="OU125" s="126" t="str">
        <f t="shared" si="98"/>
        <v/>
      </c>
      <c r="OV125" s="141" t="str">
        <f t="shared" si="108"/>
        <v/>
      </c>
      <c r="OW125" s="139" t="str">
        <f>IF(A125="","",SUM(Z$17:Z125))</f>
        <v/>
      </c>
      <c r="OX125" s="139" t="str">
        <f t="shared" si="87"/>
        <v/>
      </c>
      <c r="OY125" s="393" t="str">
        <f t="shared" si="88"/>
        <v/>
      </c>
      <c r="OZ125" s="140" t="str">
        <f t="shared" si="99"/>
        <v/>
      </c>
      <c r="PA125" s="394" t="str">
        <f t="shared" si="110"/>
        <v/>
      </c>
      <c r="PB125" s="130" t="str">
        <f>IF(A125="","",SUM(HB$17:HB125)+SUM(KY$17:KY125))</f>
        <v/>
      </c>
      <c r="PC125" s="131" t="str">
        <f t="shared" si="89"/>
        <v/>
      </c>
      <c r="PD125" s="393" t="str">
        <f t="shared" si="90"/>
        <v/>
      </c>
      <c r="PE125" s="133" t="str">
        <f t="shared" si="100"/>
        <v/>
      </c>
      <c r="PF125" s="394" t="str">
        <f t="shared" si="102"/>
        <v/>
      </c>
      <c r="PG125" s="133" t="str">
        <f t="shared" si="101"/>
        <v/>
      </c>
      <c r="PH125" s="394" t="str">
        <f t="shared" si="103"/>
        <v/>
      </c>
      <c r="PI125" s="135" t="str">
        <f t="shared" si="91"/>
        <v/>
      </c>
      <c r="PJ125" s="395" t="str">
        <f t="shared" si="104"/>
        <v/>
      </c>
      <c r="PK125" s="396" t="str">
        <f t="shared" si="105"/>
        <v/>
      </c>
      <c r="PL125" s="137" t="str">
        <f t="shared" si="92"/>
        <v/>
      </c>
      <c r="PM125" s="9" t="str">
        <f t="shared" si="93"/>
        <v/>
      </c>
      <c r="PN125" s="397" t="str">
        <f t="shared" si="94"/>
        <v/>
      </c>
      <c r="PO125" s="86" t="str">
        <f>IF(PI125="","",MAX(PI$15:PI125))</f>
        <v/>
      </c>
      <c r="PP125" s="398" t="str">
        <f t="shared" si="106"/>
        <v/>
      </c>
      <c r="PR125" s="399" t="s">
        <v>1</v>
      </c>
    </row>
    <row r="126" spans="1:434" s="184" customFormat="1" ht="16" customHeight="1" x14ac:dyDescent="0.45">
      <c r="A126" s="193"/>
      <c r="AA126" s="4" t="str">
        <f t="shared" si="78"/>
        <v/>
      </c>
      <c r="AB126" s="213" t="str">
        <f t="shared" si="95"/>
        <v/>
      </c>
      <c r="AC126" s="400"/>
      <c r="CY126" s="4" t="str">
        <f t="shared" si="109"/>
        <v/>
      </c>
      <c r="CZ126" s="213" t="str">
        <f t="shared" si="115"/>
        <v/>
      </c>
      <c r="DA126" s="400"/>
      <c r="DW126" s="1" t="str">
        <f t="shared" si="116"/>
        <v/>
      </c>
      <c r="DX126" s="400"/>
      <c r="DY126" s="1"/>
      <c r="DZ126" s="1"/>
      <c r="EA126" s="1"/>
      <c r="EB126" s="1"/>
      <c r="EC126" s="1"/>
      <c r="ED126" s="1"/>
      <c r="EE126" s="1"/>
      <c r="EF126" s="1"/>
      <c r="EG126" s="1"/>
      <c r="EH126" s="1"/>
      <c r="EI126" s="1"/>
      <c r="EJ126" s="1" t="str">
        <f t="shared" si="112"/>
        <v/>
      </c>
      <c r="EK126" s="419"/>
      <c r="EN126" s="1"/>
      <c r="EO126" s="400"/>
      <c r="EP126" s="1" t="str">
        <f t="shared" si="113"/>
        <v/>
      </c>
      <c r="EQ126" s="468" t="s">
        <v>1</v>
      </c>
      <c r="ER126"/>
      <c r="FR126" s="1"/>
      <c r="HC126" s="4" t="str">
        <f t="shared" si="79"/>
        <v/>
      </c>
      <c r="HD126" s="213" t="str">
        <f t="shared" ref="HD126:HD152" si="117">IF(A126="","",SUM(ET126:GZ126))</f>
        <v/>
      </c>
      <c r="HE126" s="400"/>
      <c r="KZ126" s="4" t="str">
        <f t="shared" si="80"/>
        <v/>
      </c>
      <c r="LA126" s="8" t="str">
        <f t="shared" si="97"/>
        <v/>
      </c>
      <c r="LB126" s="400"/>
      <c r="NR126" s="4" t="str">
        <f t="shared" si="81"/>
        <v/>
      </c>
      <c r="NS126" s="8" t="str">
        <f t="shared" si="114"/>
        <v/>
      </c>
      <c r="NT126" s="400"/>
      <c r="OE126" s="4" t="str">
        <f t="shared" si="82"/>
        <v/>
      </c>
      <c r="OF126" s="213" t="str">
        <f t="shared" si="107"/>
        <v/>
      </c>
      <c r="OT126" s="37"/>
      <c r="OU126" s="126" t="str">
        <f t="shared" si="98"/>
        <v/>
      </c>
      <c r="OV126" s="141" t="str">
        <f t="shared" si="108"/>
        <v/>
      </c>
      <c r="OW126" s="139" t="str">
        <f>IF(A126="","",SUM(Z$17:Z126))</f>
        <v/>
      </c>
      <c r="OX126" s="139" t="str">
        <f t="shared" ref="OX126:OX144" si="118">IF(A126="","",AB126+CZ126+OF126+OW126)</f>
        <v/>
      </c>
      <c r="OY126" s="393" t="str">
        <f t="shared" ref="OY126:OY144" si="119">IF(A126="","",(OX126-OX$16)/OX$16)</f>
        <v/>
      </c>
      <c r="OZ126" s="140" t="str">
        <f t="shared" si="99"/>
        <v/>
      </c>
      <c r="PA126" s="394" t="str">
        <f t="shared" si="110"/>
        <v/>
      </c>
      <c r="PB126" s="130" t="str">
        <f>IF(A126="","",SUM(HB$17:HB126)+SUM(KY$17:KY126))</f>
        <v/>
      </c>
      <c r="PC126" s="131" t="str">
        <f t="shared" ref="PC126:PC144" si="120">IF(A126="","",HD126+LA126+PB126)</f>
        <v/>
      </c>
      <c r="PD126" s="393" t="str">
        <f t="shared" ref="PD126:PD144" si="121">IF(A126="","",(PC126-PC$16)/PC$16)</f>
        <v/>
      </c>
      <c r="PE126" s="133" t="str">
        <f t="shared" si="100"/>
        <v/>
      </c>
      <c r="PF126" s="394" t="str">
        <f t="shared" si="102"/>
        <v/>
      </c>
      <c r="PG126" s="133" t="str">
        <f t="shared" si="101"/>
        <v/>
      </c>
      <c r="PH126" s="394" t="str">
        <f t="shared" si="103"/>
        <v/>
      </c>
      <c r="PI126" s="135" t="str">
        <f t="shared" ref="PI126:PI144" si="122">IF(A126="","",OU126+OZ126)</f>
        <v/>
      </c>
      <c r="PJ126" s="395" t="str">
        <f t="shared" si="104"/>
        <v/>
      </c>
      <c r="PK126" s="396" t="str">
        <f t="shared" si="105"/>
        <v/>
      </c>
      <c r="PL126" s="137" t="str">
        <f t="shared" ref="PL126:PL144" si="123">IF(A126="","",OW126+PB126)</f>
        <v/>
      </c>
      <c r="PM126" s="9" t="str">
        <f t="shared" ref="PM126:PM144" si="124">IF(A126="","",OX126+PC126)</f>
        <v/>
      </c>
      <c r="PN126" s="397" t="str">
        <f t="shared" ref="PN126:PN144" si="125">IF(A126="","",(PM126-PM$16)/PM$16)</f>
        <v/>
      </c>
      <c r="PO126" s="86" t="str">
        <f>IF(PI126="","",MAX(PI$15:PI126))</f>
        <v/>
      </c>
      <c r="PP126" s="398" t="str">
        <f t="shared" si="106"/>
        <v/>
      </c>
      <c r="PR126" s="399" t="s">
        <v>1</v>
      </c>
    </row>
    <row r="127" spans="1:434" s="184" customFormat="1" ht="16" customHeight="1" x14ac:dyDescent="0.45">
      <c r="A127" s="193"/>
      <c r="AA127" s="4" t="str">
        <f t="shared" si="78"/>
        <v/>
      </c>
      <c r="AB127" s="213" t="str">
        <f t="shared" si="95"/>
        <v/>
      </c>
      <c r="AC127" s="400"/>
      <c r="CY127" s="4" t="str">
        <f t="shared" si="109"/>
        <v/>
      </c>
      <c r="CZ127" s="213" t="str">
        <f t="shared" si="115"/>
        <v/>
      </c>
      <c r="DA127" s="400"/>
      <c r="DW127" s="1" t="str">
        <f t="shared" si="116"/>
        <v/>
      </c>
      <c r="DX127" s="400"/>
      <c r="DY127" s="1"/>
      <c r="DZ127" s="1"/>
      <c r="EA127" s="1"/>
      <c r="EB127" s="1"/>
      <c r="EC127" s="1"/>
      <c r="ED127" s="1"/>
      <c r="EE127" s="1"/>
      <c r="EF127" s="1"/>
      <c r="EG127" s="1"/>
      <c r="EH127" s="1"/>
      <c r="EI127" s="1"/>
      <c r="EJ127" s="1" t="str">
        <f t="shared" si="112"/>
        <v/>
      </c>
      <c r="EK127" s="419"/>
      <c r="EN127" s="1"/>
      <c r="EO127" s="400"/>
      <c r="EP127" s="1" t="str">
        <f t="shared" si="113"/>
        <v/>
      </c>
      <c r="EQ127" s="468" t="s">
        <v>1</v>
      </c>
      <c r="ER127"/>
      <c r="FR127" s="1"/>
      <c r="HC127" s="4" t="str">
        <f t="shared" si="79"/>
        <v/>
      </c>
      <c r="HD127" s="213" t="str">
        <f t="shared" si="117"/>
        <v/>
      </c>
      <c r="HE127" s="400"/>
      <c r="KZ127" s="4" t="str">
        <f t="shared" si="80"/>
        <v/>
      </c>
      <c r="LA127" s="8" t="str">
        <f t="shared" ref="LA127:LA151" si="126">IF(A127="","",SUM(HG127:KW127))</f>
        <v/>
      </c>
      <c r="LB127" s="400"/>
      <c r="NR127" s="4" t="str">
        <f t="shared" si="81"/>
        <v/>
      </c>
      <c r="NS127" s="8" t="str">
        <f t="shared" si="114"/>
        <v/>
      </c>
      <c r="NT127" s="400"/>
      <c r="OE127" s="4" t="str">
        <f t="shared" si="82"/>
        <v/>
      </c>
      <c r="OF127" s="213" t="str">
        <f t="shared" si="107"/>
        <v/>
      </c>
      <c r="OT127" s="37"/>
      <c r="OU127" s="126" t="str">
        <f t="shared" si="98"/>
        <v/>
      </c>
      <c r="OV127" s="141" t="str">
        <f t="shared" si="108"/>
        <v/>
      </c>
      <c r="OW127" s="139" t="str">
        <f>IF(A127="","",SUM(Z$17:Z127))</f>
        <v/>
      </c>
      <c r="OX127" s="139" t="str">
        <f t="shared" si="118"/>
        <v/>
      </c>
      <c r="OY127" s="393" t="str">
        <f t="shared" si="119"/>
        <v/>
      </c>
      <c r="OZ127" s="140" t="str">
        <f t="shared" si="99"/>
        <v/>
      </c>
      <c r="PA127" s="394" t="str">
        <f t="shared" si="110"/>
        <v/>
      </c>
      <c r="PB127" s="130" t="str">
        <f>IF(A127="","",SUM(HB$17:HB127)+SUM(KY$17:KY127))</f>
        <v/>
      </c>
      <c r="PC127" s="131" t="str">
        <f t="shared" si="120"/>
        <v/>
      </c>
      <c r="PD127" s="393" t="str">
        <f t="shared" si="121"/>
        <v/>
      </c>
      <c r="PE127" s="133" t="str">
        <f t="shared" si="100"/>
        <v/>
      </c>
      <c r="PF127" s="394" t="str">
        <f t="shared" si="102"/>
        <v/>
      </c>
      <c r="PG127" s="133" t="str">
        <f t="shared" si="101"/>
        <v/>
      </c>
      <c r="PH127" s="394" t="str">
        <f t="shared" si="103"/>
        <v/>
      </c>
      <c r="PI127" s="135" t="str">
        <f t="shared" si="122"/>
        <v/>
      </c>
      <c r="PJ127" s="395" t="str">
        <f t="shared" si="104"/>
        <v/>
      </c>
      <c r="PK127" s="396" t="str">
        <f t="shared" si="105"/>
        <v/>
      </c>
      <c r="PL127" s="137" t="str">
        <f t="shared" si="123"/>
        <v/>
      </c>
      <c r="PM127" s="9" t="str">
        <f t="shared" si="124"/>
        <v/>
      </c>
      <c r="PN127" s="397" t="str">
        <f t="shared" si="125"/>
        <v/>
      </c>
      <c r="PO127" s="86" t="str">
        <f>IF(PI127="","",MAX(PI$15:PI127))</f>
        <v/>
      </c>
      <c r="PP127" s="398" t="str">
        <f t="shared" si="106"/>
        <v/>
      </c>
      <c r="PR127" s="399" t="s">
        <v>1</v>
      </c>
    </row>
    <row r="128" spans="1:434" s="184" customFormat="1" ht="16" customHeight="1" x14ac:dyDescent="0.45">
      <c r="A128" s="193"/>
      <c r="AA128" s="4" t="str">
        <f t="shared" si="78"/>
        <v/>
      </c>
      <c r="AB128" s="213" t="str">
        <f t="shared" si="95"/>
        <v/>
      </c>
      <c r="AC128" s="400"/>
      <c r="CY128" s="4" t="str">
        <f t="shared" si="109"/>
        <v/>
      </c>
      <c r="CZ128" s="213" t="str">
        <f t="shared" si="115"/>
        <v/>
      </c>
      <c r="DA128" s="400"/>
      <c r="DW128" s="1" t="str">
        <f t="shared" si="116"/>
        <v/>
      </c>
      <c r="DX128" s="400"/>
      <c r="DY128" s="1"/>
      <c r="DZ128" s="1"/>
      <c r="EA128" s="1"/>
      <c r="EB128" s="1"/>
      <c r="EC128" s="1"/>
      <c r="ED128" s="1"/>
      <c r="EE128" s="1"/>
      <c r="EF128" s="1"/>
      <c r="EG128" s="1"/>
      <c r="EH128" s="1"/>
      <c r="EI128" s="1"/>
      <c r="EJ128" s="1" t="str">
        <f t="shared" si="112"/>
        <v/>
      </c>
      <c r="EK128" s="419"/>
      <c r="EN128" s="1"/>
      <c r="EO128" s="400"/>
      <c r="EP128" s="1" t="str">
        <f t="shared" si="113"/>
        <v/>
      </c>
      <c r="EQ128" s="468" t="s">
        <v>1</v>
      </c>
      <c r="ER128"/>
      <c r="FR128" s="1"/>
      <c r="HC128" s="4" t="str">
        <f>IF($A128="","",(HD128-HD127)/HD127)</f>
        <v/>
      </c>
      <c r="HD128" s="213" t="str">
        <f t="shared" si="117"/>
        <v/>
      </c>
      <c r="HE128" s="400"/>
      <c r="KZ128" s="4" t="str">
        <f>IF($A128="","",(LA128-LA127)/LA127)</f>
        <v/>
      </c>
      <c r="LA128" s="8" t="str">
        <f t="shared" si="126"/>
        <v/>
      </c>
      <c r="LB128" s="400"/>
      <c r="NR128" s="4" t="str">
        <f>IF($A128="","",(NS128-NS127)/NS127)</f>
        <v/>
      </c>
      <c r="NS128" s="8" t="str">
        <f t="shared" si="114"/>
        <v/>
      </c>
      <c r="NT128" s="400"/>
      <c r="OE128" s="4" t="str">
        <f>IF($A128="","",(OF128-OF127)/OF127)</f>
        <v/>
      </c>
      <c r="OF128" s="213" t="str">
        <f t="shared" si="107"/>
        <v/>
      </c>
      <c r="OT128" s="37"/>
      <c r="OU128" s="126" t="str">
        <f t="shared" si="98"/>
        <v/>
      </c>
      <c r="OV128" s="141" t="str">
        <f t="shared" si="108"/>
        <v/>
      </c>
      <c r="OW128" s="139" t="str">
        <f>IF(A128="","",SUM(Z$17:Z128))</f>
        <v/>
      </c>
      <c r="OX128" s="139" t="str">
        <f t="shared" si="118"/>
        <v/>
      </c>
      <c r="OY128" s="393" t="str">
        <f t="shared" si="119"/>
        <v/>
      </c>
      <c r="OZ128" s="140" t="str">
        <f t="shared" si="99"/>
        <v/>
      </c>
      <c r="PA128" s="394" t="str">
        <f t="shared" si="110"/>
        <v/>
      </c>
      <c r="PB128" s="130" t="str">
        <f>IF(A128="","",SUM(HB$17:HB128)+SUM(KY$17:KY128))</f>
        <v/>
      </c>
      <c r="PC128" s="131" t="str">
        <f t="shared" si="120"/>
        <v/>
      </c>
      <c r="PD128" s="393" t="str">
        <f t="shared" si="121"/>
        <v/>
      </c>
      <c r="PE128" s="133" t="str">
        <f t="shared" si="100"/>
        <v/>
      </c>
      <c r="PF128" s="394" t="str">
        <f t="shared" si="102"/>
        <v/>
      </c>
      <c r="PG128" s="133" t="str">
        <f t="shared" si="101"/>
        <v/>
      </c>
      <c r="PH128" s="394" t="str">
        <f t="shared" si="103"/>
        <v/>
      </c>
      <c r="PI128" s="135" t="str">
        <f t="shared" si="122"/>
        <v/>
      </c>
      <c r="PJ128" s="395" t="str">
        <f>IF(PI128="","",(PI128-PI127)/PI127)</f>
        <v/>
      </c>
      <c r="PK128" s="396" t="str">
        <f t="shared" ref="PK128:PK139" si="127">IF(PI128="","",(PI128-PI116)/PI116)</f>
        <v/>
      </c>
      <c r="PL128" s="137" t="str">
        <f t="shared" si="123"/>
        <v/>
      </c>
      <c r="PM128" s="9" t="str">
        <f t="shared" si="124"/>
        <v/>
      </c>
      <c r="PN128" s="397" t="str">
        <f t="shared" si="125"/>
        <v/>
      </c>
      <c r="PO128" s="86" t="str">
        <f>IF(PI128="","",MAX(PI$15:PI128))</f>
        <v/>
      </c>
      <c r="PP128" s="398" t="str">
        <f t="shared" si="106"/>
        <v/>
      </c>
      <c r="PR128" s="399" t="s">
        <v>1</v>
      </c>
    </row>
    <row r="129" spans="1:434" s="184" customFormat="1" ht="16" customHeight="1" x14ac:dyDescent="0.45">
      <c r="A129" s="193"/>
      <c r="AA129" s="4" t="str">
        <f t="shared" si="78"/>
        <v/>
      </c>
      <c r="AB129" s="213" t="str">
        <f t="shared" si="95"/>
        <v/>
      </c>
      <c r="AC129" s="400"/>
      <c r="CY129" s="4" t="str">
        <f t="shared" si="109"/>
        <v/>
      </c>
      <c r="CZ129" s="213" t="str">
        <f t="shared" si="115"/>
        <v/>
      </c>
      <c r="DA129" s="400"/>
      <c r="DW129" s="1" t="str">
        <f t="shared" si="116"/>
        <v/>
      </c>
      <c r="DX129" s="400"/>
      <c r="DY129" s="1"/>
      <c r="DZ129" s="1"/>
      <c r="EA129" s="1"/>
      <c r="EB129" s="1"/>
      <c r="EC129" s="1"/>
      <c r="ED129" s="1"/>
      <c r="EE129" s="1"/>
      <c r="EF129" s="1"/>
      <c r="EG129" s="1"/>
      <c r="EH129" s="1"/>
      <c r="EI129" s="1"/>
      <c r="EJ129" s="1" t="str">
        <f t="shared" si="112"/>
        <v/>
      </c>
      <c r="EK129" s="419"/>
      <c r="EN129" s="1"/>
      <c r="EO129" s="400"/>
      <c r="EP129" s="1" t="str">
        <f t="shared" si="113"/>
        <v/>
      </c>
      <c r="EQ129" s="468" t="s">
        <v>1</v>
      </c>
      <c r="ER129"/>
      <c r="FR129" s="1"/>
      <c r="HC129" s="4" t="str">
        <f t="shared" si="79"/>
        <v/>
      </c>
      <c r="HD129" s="213" t="str">
        <f t="shared" si="117"/>
        <v/>
      </c>
      <c r="HE129" s="400"/>
      <c r="KZ129" s="4" t="str">
        <f t="shared" si="80"/>
        <v/>
      </c>
      <c r="LA129" s="8" t="str">
        <f t="shared" si="126"/>
        <v/>
      </c>
      <c r="LB129" s="400"/>
      <c r="NR129" s="4" t="str">
        <f t="shared" si="81"/>
        <v/>
      </c>
      <c r="NS129" s="8" t="str">
        <f t="shared" si="114"/>
        <v/>
      </c>
      <c r="NT129" s="400"/>
      <c r="OE129" s="4" t="str">
        <f t="shared" si="82"/>
        <v/>
      </c>
      <c r="OF129" s="213" t="str">
        <f t="shared" si="107"/>
        <v/>
      </c>
      <c r="OT129" s="37"/>
      <c r="OU129" s="126" t="str">
        <f t="shared" si="98"/>
        <v/>
      </c>
      <c r="OV129" s="141" t="str">
        <f t="shared" si="108"/>
        <v/>
      </c>
      <c r="OW129" s="139" t="str">
        <f>IF(A129="","",SUM(Z$17:Z129))</f>
        <v/>
      </c>
      <c r="OX129" s="139" t="str">
        <f t="shared" si="118"/>
        <v/>
      </c>
      <c r="OY129" s="393" t="str">
        <f t="shared" si="119"/>
        <v/>
      </c>
      <c r="OZ129" s="140" t="str">
        <f t="shared" si="99"/>
        <v/>
      </c>
      <c r="PA129" s="394" t="str">
        <f t="shared" si="110"/>
        <v/>
      </c>
      <c r="PB129" s="130" t="str">
        <f>IF(A129="","",SUM(HB$17:HB129)+SUM(KY$17:KY129))</f>
        <v/>
      </c>
      <c r="PC129" s="131" t="str">
        <f t="shared" si="120"/>
        <v/>
      </c>
      <c r="PD129" s="393" t="str">
        <f t="shared" si="121"/>
        <v/>
      </c>
      <c r="PE129" s="133" t="str">
        <f t="shared" si="100"/>
        <v/>
      </c>
      <c r="PF129" s="394" t="str">
        <f t="shared" si="102"/>
        <v/>
      </c>
      <c r="PG129" s="133" t="str">
        <f t="shared" si="101"/>
        <v/>
      </c>
      <c r="PH129" s="394" t="str">
        <f t="shared" si="103"/>
        <v/>
      </c>
      <c r="PI129" s="135" t="str">
        <f t="shared" si="122"/>
        <v/>
      </c>
      <c r="PJ129" s="395" t="str">
        <f t="shared" si="104"/>
        <v/>
      </c>
      <c r="PK129" s="396" t="str">
        <f t="shared" si="127"/>
        <v/>
      </c>
      <c r="PL129" s="137" t="str">
        <f t="shared" si="123"/>
        <v/>
      </c>
      <c r="PM129" s="9" t="str">
        <f t="shared" si="124"/>
        <v/>
      </c>
      <c r="PN129" s="397" t="str">
        <f t="shared" si="125"/>
        <v/>
      </c>
      <c r="PO129" s="86" t="str">
        <f>IF(PI129="","",MAX(PI$15:PI129))</f>
        <v/>
      </c>
      <c r="PP129" s="398" t="str">
        <f t="shared" si="106"/>
        <v/>
      </c>
      <c r="PR129" s="399" t="s">
        <v>1</v>
      </c>
    </row>
    <row r="130" spans="1:434" s="184" customFormat="1" ht="16" customHeight="1" x14ac:dyDescent="0.45">
      <c r="A130" s="193"/>
      <c r="AA130" s="4" t="str">
        <f t="shared" si="78"/>
        <v/>
      </c>
      <c r="AB130" s="213" t="str">
        <f t="shared" si="95"/>
        <v/>
      </c>
      <c r="AC130" s="400"/>
      <c r="CY130" s="4" t="str">
        <f t="shared" si="109"/>
        <v/>
      </c>
      <c r="CZ130" s="213" t="str">
        <f t="shared" si="115"/>
        <v/>
      </c>
      <c r="DA130" s="400"/>
      <c r="DW130" s="1" t="str">
        <f t="shared" si="116"/>
        <v/>
      </c>
      <c r="DX130" s="400"/>
      <c r="DY130" s="1"/>
      <c r="DZ130" s="1"/>
      <c r="EA130" s="1"/>
      <c r="EB130" s="1"/>
      <c r="EC130" s="1"/>
      <c r="ED130" s="1"/>
      <c r="EE130" s="1"/>
      <c r="EF130" s="1"/>
      <c r="EG130" s="1"/>
      <c r="EH130" s="1"/>
      <c r="EI130" s="1"/>
      <c r="EJ130" s="1" t="str">
        <f t="shared" si="112"/>
        <v/>
      </c>
      <c r="EK130" s="419"/>
      <c r="EN130" s="1"/>
      <c r="EO130" s="400"/>
      <c r="EP130" s="1" t="str">
        <f t="shared" si="113"/>
        <v/>
      </c>
      <c r="EQ130" s="468" t="s">
        <v>1</v>
      </c>
      <c r="ER130"/>
      <c r="FR130" s="1"/>
      <c r="HC130" s="4" t="str">
        <f t="shared" si="79"/>
        <v/>
      </c>
      <c r="HD130" s="213" t="str">
        <f t="shared" si="117"/>
        <v/>
      </c>
      <c r="HE130" s="400"/>
      <c r="KZ130" s="4" t="str">
        <f t="shared" si="80"/>
        <v/>
      </c>
      <c r="LA130" s="8" t="str">
        <f t="shared" si="126"/>
        <v/>
      </c>
      <c r="LB130" s="400"/>
      <c r="NR130" s="4" t="str">
        <f t="shared" si="81"/>
        <v/>
      </c>
      <c r="NS130" s="8" t="str">
        <f t="shared" si="114"/>
        <v/>
      </c>
      <c r="NT130" s="400"/>
      <c r="OE130" s="4" t="str">
        <f t="shared" si="82"/>
        <v/>
      </c>
      <c r="OF130" s="213" t="str">
        <f t="shared" si="107"/>
        <v/>
      </c>
      <c r="OT130" s="37"/>
      <c r="OU130" s="126" t="str">
        <f t="shared" si="98"/>
        <v/>
      </c>
      <c r="OV130" s="141" t="str">
        <f t="shared" si="108"/>
        <v/>
      </c>
      <c r="OW130" s="139" t="str">
        <f>IF(A130="","",SUM(Z$17:Z130))</f>
        <v/>
      </c>
      <c r="OX130" s="139" t="str">
        <f t="shared" si="118"/>
        <v/>
      </c>
      <c r="OY130" s="393" t="str">
        <f t="shared" si="119"/>
        <v/>
      </c>
      <c r="OZ130" s="140" t="str">
        <f t="shared" si="99"/>
        <v/>
      </c>
      <c r="PA130" s="394" t="str">
        <f t="shared" si="110"/>
        <v/>
      </c>
      <c r="PB130" s="130" t="str">
        <f>IF(A130="","",SUM(HB$17:HB130)+SUM(KY$17:KY130))</f>
        <v/>
      </c>
      <c r="PC130" s="131" t="str">
        <f t="shared" si="120"/>
        <v/>
      </c>
      <c r="PD130" s="393" t="str">
        <f t="shared" si="121"/>
        <v/>
      </c>
      <c r="PE130" s="133" t="str">
        <f t="shared" si="100"/>
        <v/>
      </c>
      <c r="PF130" s="394" t="str">
        <f t="shared" si="102"/>
        <v/>
      </c>
      <c r="PG130" s="133" t="str">
        <f t="shared" si="101"/>
        <v/>
      </c>
      <c r="PH130" s="394" t="str">
        <f t="shared" si="103"/>
        <v/>
      </c>
      <c r="PI130" s="135" t="str">
        <f t="shared" si="122"/>
        <v/>
      </c>
      <c r="PJ130" s="395" t="str">
        <f t="shared" si="104"/>
        <v/>
      </c>
      <c r="PK130" s="396" t="str">
        <f t="shared" si="127"/>
        <v/>
      </c>
      <c r="PL130" s="137" t="str">
        <f t="shared" si="123"/>
        <v/>
      </c>
      <c r="PM130" s="9" t="str">
        <f t="shared" si="124"/>
        <v/>
      </c>
      <c r="PN130" s="397" t="str">
        <f t="shared" si="125"/>
        <v/>
      </c>
      <c r="PO130" s="86" t="str">
        <f>IF(PI130="","",MAX(PI$15:PI130))</f>
        <v/>
      </c>
      <c r="PP130" s="398" t="str">
        <f t="shared" si="106"/>
        <v/>
      </c>
      <c r="PR130" s="399" t="s">
        <v>1</v>
      </c>
    </row>
    <row r="131" spans="1:434" s="184" customFormat="1" ht="16" customHeight="1" x14ac:dyDescent="0.45">
      <c r="A131" s="193"/>
      <c r="AA131" s="4" t="str">
        <f t="shared" si="78"/>
        <v/>
      </c>
      <c r="AB131" s="213" t="str">
        <f t="shared" si="95"/>
        <v/>
      </c>
      <c r="AC131" s="400"/>
      <c r="CY131" s="4" t="str">
        <f t="shared" si="109"/>
        <v/>
      </c>
      <c r="CZ131" s="213" t="str">
        <f t="shared" si="115"/>
        <v/>
      </c>
      <c r="DA131" s="400"/>
      <c r="DW131" s="1" t="str">
        <f t="shared" si="116"/>
        <v/>
      </c>
      <c r="DX131" s="400"/>
      <c r="DY131" s="1"/>
      <c r="DZ131" s="1"/>
      <c r="EA131" s="1"/>
      <c r="EB131" s="1"/>
      <c r="EC131" s="1"/>
      <c r="ED131" s="1"/>
      <c r="EE131" s="1"/>
      <c r="EF131" s="1"/>
      <c r="EG131" s="1"/>
      <c r="EH131" s="1"/>
      <c r="EI131" s="1"/>
      <c r="EJ131" s="1" t="str">
        <f t="shared" si="112"/>
        <v/>
      </c>
      <c r="EK131" s="419"/>
      <c r="EN131" s="1"/>
      <c r="EO131" s="400"/>
      <c r="EP131" s="1" t="str">
        <f t="shared" si="113"/>
        <v/>
      </c>
      <c r="EQ131" s="468" t="s">
        <v>1</v>
      </c>
      <c r="ER131"/>
      <c r="FR131" s="1"/>
      <c r="HC131" s="4" t="str">
        <f t="shared" si="79"/>
        <v/>
      </c>
      <c r="HD131" s="213" t="str">
        <f t="shared" si="117"/>
        <v/>
      </c>
      <c r="HE131" s="400"/>
      <c r="KZ131" s="4" t="str">
        <f t="shared" si="80"/>
        <v/>
      </c>
      <c r="LA131" s="8" t="str">
        <f t="shared" si="126"/>
        <v/>
      </c>
      <c r="LB131" s="400"/>
      <c r="NR131" s="4" t="str">
        <f t="shared" si="81"/>
        <v/>
      </c>
      <c r="NS131" s="8" t="str">
        <f t="shared" si="114"/>
        <v/>
      </c>
      <c r="NT131" s="400"/>
      <c r="OE131" s="4" t="str">
        <f t="shared" si="82"/>
        <v/>
      </c>
      <c r="OF131" s="213" t="str">
        <f t="shared" si="107"/>
        <v/>
      </c>
      <c r="OT131" s="37"/>
      <c r="OU131" s="126" t="str">
        <f t="shared" si="98"/>
        <v/>
      </c>
      <c r="OV131" s="141" t="str">
        <f t="shared" si="108"/>
        <v/>
      </c>
      <c r="OW131" s="139" t="str">
        <f>IF(A131="","",SUM(Z$17:Z131))</f>
        <v/>
      </c>
      <c r="OX131" s="139" t="str">
        <f t="shared" si="118"/>
        <v/>
      </c>
      <c r="OY131" s="393" t="str">
        <f t="shared" si="119"/>
        <v/>
      </c>
      <c r="OZ131" s="140" t="str">
        <f t="shared" si="99"/>
        <v/>
      </c>
      <c r="PA131" s="394" t="str">
        <f t="shared" si="110"/>
        <v/>
      </c>
      <c r="PB131" s="130" t="str">
        <f>IF(A131="","",SUM(HB$17:HB131)+SUM(KY$17:KY131))</f>
        <v/>
      </c>
      <c r="PC131" s="131" t="str">
        <f t="shared" si="120"/>
        <v/>
      </c>
      <c r="PD131" s="393" t="str">
        <f t="shared" si="121"/>
        <v/>
      </c>
      <c r="PE131" s="133" t="str">
        <f t="shared" si="100"/>
        <v/>
      </c>
      <c r="PF131" s="394" t="str">
        <f t="shared" si="102"/>
        <v/>
      </c>
      <c r="PG131" s="133" t="str">
        <f t="shared" si="101"/>
        <v/>
      </c>
      <c r="PH131" s="394" t="str">
        <f t="shared" si="103"/>
        <v/>
      </c>
      <c r="PI131" s="135" t="str">
        <f t="shared" si="122"/>
        <v/>
      </c>
      <c r="PJ131" s="395" t="str">
        <f t="shared" si="104"/>
        <v/>
      </c>
      <c r="PK131" s="396" t="str">
        <f t="shared" si="127"/>
        <v/>
      </c>
      <c r="PL131" s="137" t="str">
        <f t="shared" si="123"/>
        <v/>
      </c>
      <c r="PM131" s="9" t="str">
        <f t="shared" si="124"/>
        <v/>
      </c>
      <c r="PN131" s="397" t="str">
        <f t="shared" si="125"/>
        <v/>
      </c>
      <c r="PO131" s="86" t="str">
        <f>IF(PI131="","",MAX(PI$15:PI131))</f>
        <v/>
      </c>
      <c r="PP131" s="398" t="str">
        <f t="shared" si="106"/>
        <v/>
      </c>
      <c r="PR131" s="399" t="s">
        <v>1</v>
      </c>
    </row>
    <row r="132" spans="1:434" s="184" customFormat="1" ht="16" customHeight="1" x14ac:dyDescent="0.45">
      <c r="A132" s="193"/>
      <c r="AA132" s="4" t="str">
        <f t="shared" si="78"/>
        <v/>
      </c>
      <c r="AB132" s="213" t="str">
        <f t="shared" si="95"/>
        <v/>
      </c>
      <c r="AC132" s="400"/>
      <c r="CY132" s="4" t="str">
        <f t="shared" si="109"/>
        <v/>
      </c>
      <c r="CZ132" s="213" t="str">
        <f t="shared" si="115"/>
        <v/>
      </c>
      <c r="DA132" s="400"/>
      <c r="DW132" s="1" t="str">
        <f t="shared" si="116"/>
        <v/>
      </c>
      <c r="DX132" s="400"/>
      <c r="DY132" s="1"/>
      <c r="DZ132" s="1"/>
      <c r="EA132" s="1"/>
      <c r="EB132" s="1"/>
      <c r="EC132" s="1"/>
      <c r="ED132" s="1"/>
      <c r="EE132" s="1"/>
      <c r="EF132" s="1"/>
      <c r="EG132" s="1"/>
      <c r="EH132" s="1"/>
      <c r="EI132" s="1"/>
      <c r="EJ132" s="1" t="str">
        <f t="shared" si="112"/>
        <v/>
      </c>
      <c r="EK132" s="419"/>
      <c r="EN132" s="1"/>
      <c r="EO132" s="400"/>
      <c r="EP132" s="1" t="str">
        <f t="shared" si="113"/>
        <v/>
      </c>
      <c r="EQ132" s="468" t="s">
        <v>1</v>
      </c>
      <c r="ER132"/>
      <c r="FR132" s="1"/>
      <c r="HC132" s="4" t="str">
        <f t="shared" si="79"/>
        <v/>
      </c>
      <c r="HD132" s="213" t="str">
        <f t="shared" si="117"/>
        <v/>
      </c>
      <c r="HE132" s="400"/>
      <c r="KZ132" s="4" t="str">
        <f t="shared" si="80"/>
        <v/>
      </c>
      <c r="LA132" s="8" t="str">
        <f t="shared" si="126"/>
        <v/>
      </c>
      <c r="LB132" s="400"/>
      <c r="NR132" s="4" t="str">
        <f t="shared" si="81"/>
        <v/>
      </c>
      <c r="NS132" s="8" t="str">
        <f t="shared" si="114"/>
        <v/>
      </c>
      <c r="NT132" s="400"/>
      <c r="OE132" s="4" t="str">
        <f t="shared" si="82"/>
        <v/>
      </c>
      <c r="OF132" s="213" t="str">
        <f t="shared" si="107"/>
        <v/>
      </c>
      <c r="OT132" s="37"/>
      <c r="OU132" s="126" t="str">
        <f t="shared" si="98"/>
        <v/>
      </c>
      <c r="OV132" s="141" t="str">
        <f t="shared" si="108"/>
        <v/>
      </c>
      <c r="OW132" s="139" t="str">
        <f>IF(A132="","",SUM(Z$17:Z132))</f>
        <v/>
      </c>
      <c r="OX132" s="139" t="str">
        <f t="shared" si="118"/>
        <v/>
      </c>
      <c r="OY132" s="393" t="str">
        <f t="shared" si="119"/>
        <v/>
      </c>
      <c r="OZ132" s="140" t="str">
        <f t="shared" si="99"/>
        <v/>
      </c>
      <c r="PA132" s="394" t="str">
        <f t="shared" si="110"/>
        <v/>
      </c>
      <c r="PB132" s="130" t="str">
        <f>IF(A132="","",SUM(HB$17:HB132)+SUM(KY$17:KY132))</f>
        <v/>
      </c>
      <c r="PC132" s="131" t="str">
        <f t="shared" si="120"/>
        <v/>
      </c>
      <c r="PD132" s="393" t="str">
        <f t="shared" si="121"/>
        <v/>
      </c>
      <c r="PE132" s="133" t="str">
        <f t="shared" si="100"/>
        <v/>
      </c>
      <c r="PF132" s="394" t="str">
        <f t="shared" si="102"/>
        <v/>
      </c>
      <c r="PG132" s="133" t="str">
        <f t="shared" si="101"/>
        <v/>
      </c>
      <c r="PH132" s="394" t="str">
        <f t="shared" si="103"/>
        <v/>
      </c>
      <c r="PI132" s="135" t="str">
        <f t="shared" si="122"/>
        <v/>
      </c>
      <c r="PJ132" s="395" t="str">
        <f t="shared" si="104"/>
        <v/>
      </c>
      <c r="PK132" s="396" t="str">
        <f t="shared" si="127"/>
        <v/>
      </c>
      <c r="PL132" s="137" t="str">
        <f t="shared" si="123"/>
        <v/>
      </c>
      <c r="PM132" s="9" t="str">
        <f t="shared" si="124"/>
        <v/>
      </c>
      <c r="PN132" s="397" t="str">
        <f t="shared" si="125"/>
        <v/>
      </c>
      <c r="PO132" s="86" t="str">
        <f>IF(PI132="","",MAX(PI$15:PI132))</f>
        <v/>
      </c>
      <c r="PP132" s="398" t="str">
        <f t="shared" si="106"/>
        <v/>
      </c>
      <c r="PR132" s="399" t="s">
        <v>1</v>
      </c>
    </row>
    <row r="133" spans="1:434" s="184" customFormat="1" ht="16" customHeight="1" x14ac:dyDescent="0.45">
      <c r="A133" s="193"/>
      <c r="AA133" s="4" t="str">
        <f t="shared" si="78"/>
        <v/>
      </c>
      <c r="AB133" s="213" t="str">
        <f t="shared" si="95"/>
        <v/>
      </c>
      <c r="AC133" s="400"/>
      <c r="CY133" s="4" t="str">
        <f t="shared" si="109"/>
        <v/>
      </c>
      <c r="CZ133" s="213" t="str">
        <f t="shared" si="115"/>
        <v/>
      </c>
      <c r="DA133" s="400"/>
      <c r="DW133" s="1" t="str">
        <f t="shared" si="116"/>
        <v/>
      </c>
      <c r="DX133" s="400"/>
      <c r="DY133" s="1"/>
      <c r="DZ133" s="1"/>
      <c r="EA133" s="1"/>
      <c r="EB133" s="1"/>
      <c r="EC133" s="1"/>
      <c r="ED133" s="1"/>
      <c r="EE133" s="1"/>
      <c r="EF133" s="1"/>
      <c r="EG133" s="1"/>
      <c r="EH133" s="1"/>
      <c r="EI133" s="1"/>
      <c r="EJ133" s="1" t="str">
        <f t="shared" si="112"/>
        <v/>
      </c>
      <c r="EK133" s="419"/>
      <c r="EN133" s="1"/>
      <c r="EO133" s="400"/>
      <c r="EP133" s="1" t="str">
        <f t="shared" si="113"/>
        <v/>
      </c>
      <c r="EQ133" s="468" t="s">
        <v>1</v>
      </c>
      <c r="ER133"/>
      <c r="FR133" s="1"/>
      <c r="HC133" s="4" t="str">
        <f t="shared" si="79"/>
        <v/>
      </c>
      <c r="HD133" s="213" t="str">
        <f t="shared" si="117"/>
        <v/>
      </c>
      <c r="HE133" s="400"/>
      <c r="KZ133" s="4" t="str">
        <f t="shared" si="80"/>
        <v/>
      </c>
      <c r="LA133" s="8" t="str">
        <f t="shared" si="126"/>
        <v/>
      </c>
      <c r="LB133" s="400"/>
      <c r="NR133" s="4" t="str">
        <f t="shared" si="81"/>
        <v/>
      </c>
      <c r="NS133" s="8" t="str">
        <f t="shared" si="114"/>
        <v/>
      </c>
      <c r="NT133" s="400"/>
      <c r="OE133" s="4" t="str">
        <f t="shared" si="82"/>
        <v/>
      </c>
      <c r="OF133" s="213" t="str">
        <f t="shared" si="107"/>
        <v/>
      </c>
      <c r="OT133" s="37"/>
      <c r="OU133" s="126" t="str">
        <f t="shared" si="98"/>
        <v/>
      </c>
      <c r="OV133" s="141" t="str">
        <f t="shared" si="108"/>
        <v/>
      </c>
      <c r="OW133" s="139" t="str">
        <f>IF(A133="","",SUM(Z$17:Z133))</f>
        <v/>
      </c>
      <c r="OX133" s="139" t="str">
        <f t="shared" si="118"/>
        <v/>
      </c>
      <c r="OY133" s="393" t="str">
        <f t="shared" si="119"/>
        <v/>
      </c>
      <c r="OZ133" s="140" t="str">
        <f t="shared" si="99"/>
        <v/>
      </c>
      <c r="PA133" s="394" t="str">
        <f t="shared" si="110"/>
        <v/>
      </c>
      <c r="PB133" s="130" t="str">
        <f>IF(A133="","",SUM(HB$17:HB133)+SUM(KY$17:KY133))</f>
        <v/>
      </c>
      <c r="PC133" s="131" t="str">
        <f t="shared" si="120"/>
        <v/>
      </c>
      <c r="PD133" s="393" t="str">
        <f t="shared" si="121"/>
        <v/>
      </c>
      <c r="PE133" s="133" t="str">
        <f t="shared" si="100"/>
        <v/>
      </c>
      <c r="PF133" s="394" t="str">
        <f t="shared" si="102"/>
        <v/>
      </c>
      <c r="PG133" s="133" t="str">
        <f t="shared" si="101"/>
        <v/>
      </c>
      <c r="PH133" s="394" t="str">
        <f t="shared" si="103"/>
        <v/>
      </c>
      <c r="PI133" s="135" t="str">
        <f t="shared" si="122"/>
        <v/>
      </c>
      <c r="PJ133" s="395" t="str">
        <f t="shared" si="104"/>
        <v/>
      </c>
      <c r="PK133" s="396" t="str">
        <f t="shared" si="127"/>
        <v/>
      </c>
      <c r="PL133" s="137" t="str">
        <f t="shared" si="123"/>
        <v/>
      </c>
      <c r="PM133" s="9" t="str">
        <f t="shared" si="124"/>
        <v/>
      </c>
      <c r="PN133" s="397" t="str">
        <f t="shared" si="125"/>
        <v/>
      </c>
      <c r="PO133" s="86" t="str">
        <f>IF(PI133="","",MAX(PI$15:PI133))</f>
        <v/>
      </c>
      <c r="PP133" s="398" t="str">
        <f t="shared" si="106"/>
        <v/>
      </c>
      <c r="PR133" s="399" t="s">
        <v>1</v>
      </c>
    </row>
    <row r="134" spans="1:434" s="184" customFormat="1" ht="16" customHeight="1" x14ac:dyDescent="0.45">
      <c r="A134" s="193"/>
      <c r="AA134" s="4" t="str">
        <f t="shared" si="78"/>
        <v/>
      </c>
      <c r="AB134" s="213" t="str">
        <f t="shared" si="95"/>
        <v/>
      </c>
      <c r="AC134" s="400"/>
      <c r="CY134" s="4" t="str">
        <f t="shared" si="109"/>
        <v/>
      </c>
      <c r="CZ134" s="213" t="str">
        <f t="shared" si="115"/>
        <v/>
      </c>
      <c r="DA134" s="400"/>
      <c r="DW134" s="1" t="str">
        <f t="shared" si="116"/>
        <v/>
      </c>
      <c r="DX134" s="400"/>
      <c r="DY134" s="1"/>
      <c r="DZ134" s="1"/>
      <c r="EA134" s="1"/>
      <c r="EB134" s="1"/>
      <c r="EC134" s="1"/>
      <c r="ED134" s="1"/>
      <c r="EE134" s="1"/>
      <c r="EF134" s="1"/>
      <c r="EG134" s="1"/>
      <c r="EH134" s="1"/>
      <c r="EI134" s="1"/>
      <c r="EJ134" s="1" t="str">
        <f t="shared" si="112"/>
        <v/>
      </c>
      <c r="EK134" s="419"/>
      <c r="EN134" s="1"/>
      <c r="EO134" s="400"/>
      <c r="EP134" s="1" t="str">
        <f t="shared" si="113"/>
        <v/>
      </c>
      <c r="EQ134" s="468" t="s">
        <v>1</v>
      </c>
      <c r="ER134"/>
      <c r="FR134" s="1"/>
      <c r="HC134" s="4" t="str">
        <f t="shared" si="79"/>
        <v/>
      </c>
      <c r="HD134" s="213" t="str">
        <f t="shared" si="117"/>
        <v/>
      </c>
      <c r="HE134" s="400"/>
      <c r="KZ134" s="4" t="str">
        <f t="shared" si="80"/>
        <v/>
      </c>
      <c r="LA134" s="8" t="str">
        <f t="shared" si="126"/>
        <v/>
      </c>
      <c r="LB134" s="400"/>
      <c r="NR134" s="4" t="str">
        <f t="shared" si="81"/>
        <v/>
      </c>
      <c r="NS134" s="8" t="str">
        <f t="shared" si="114"/>
        <v/>
      </c>
      <c r="NT134" s="400"/>
      <c r="OE134" s="4" t="str">
        <f t="shared" si="82"/>
        <v/>
      </c>
      <c r="OF134" s="213" t="str">
        <f t="shared" si="107"/>
        <v/>
      </c>
      <c r="OT134" s="37"/>
      <c r="OU134" s="126" t="str">
        <f t="shared" si="98"/>
        <v/>
      </c>
      <c r="OV134" s="141" t="str">
        <f t="shared" si="108"/>
        <v/>
      </c>
      <c r="OW134" s="139" t="str">
        <f>IF(A134="","",SUM(Z$17:Z134))</f>
        <v/>
      </c>
      <c r="OX134" s="139" t="str">
        <f t="shared" si="118"/>
        <v/>
      </c>
      <c r="OY134" s="393" t="str">
        <f t="shared" si="119"/>
        <v/>
      </c>
      <c r="OZ134" s="140" t="str">
        <f t="shared" si="99"/>
        <v/>
      </c>
      <c r="PA134" s="394" t="str">
        <f t="shared" si="110"/>
        <v/>
      </c>
      <c r="PB134" s="130" t="str">
        <f>IF(A134="","",SUM(HB$17:HB134)+SUM(KY$17:KY134))</f>
        <v/>
      </c>
      <c r="PC134" s="131" t="str">
        <f t="shared" si="120"/>
        <v/>
      </c>
      <c r="PD134" s="393" t="str">
        <f t="shared" si="121"/>
        <v/>
      </c>
      <c r="PE134" s="133" t="str">
        <f t="shared" si="100"/>
        <v/>
      </c>
      <c r="PF134" s="394" t="str">
        <f t="shared" si="102"/>
        <v/>
      </c>
      <c r="PG134" s="133" t="str">
        <f t="shared" si="101"/>
        <v/>
      </c>
      <c r="PH134" s="394" t="str">
        <f t="shared" si="103"/>
        <v/>
      </c>
      <c r="PI134" s="135" t="str">
        <f t="shared" si="122"/>
        <v/>
      </c>
      <c r="PJ134" s="395" t="str">
        <f t="shared" si="104"/>
        <v/>
      </c>
      <c r="PK134" s="396" t="str">
        <f t="shared" si="127"/>
        <v/>
      </c>
      <c r="PL134" s="137" t="str">
        <f t="shared" si="123"/>
        <v/>
      </c>
      <c r="PM134" s="9" t="str">
        <f t="shared" si="124"/>
        <v/>
      </c>
      <c r="PN134" s="397" t="str">
        <f t="shared" si="125"/>
        <v/>
      </c>
      <c r="PO134" s="86" t="str">
        <f>IF(PI134="","",MAX(PI$15:PI134))</f>
        <v/>
      </c>
      <c r="PP134" s="398" t="str">
        <f t="shared" si="106"/>
        <v/>
      </c>
      <c r="PR134" s="399" t="s">
        <v>1</v>
      </c>
    </row>
    <row r="135" spans="1:434" s="184" customFormat="1" ht="16" customHeight="1" x14ac:dyDescent="0.45">
      <c r="A135" s="193"/>
      <c r="AA135" s="4" t="str">
        <f t="shared" si="78"/>
        <v/>
      </c>
      <c r="AB135" s="213" t="str">
        <f t="shared" si="95"/>
        <v/>
      </c>
      <c r="AC135" s="400"/>
      <c r="CY135" s="4" t="str">
        <f t="shared" si="109"/>
        <v/>
      </c>
      <c r="CZ135" s="213" t="str">
        <f t="shared" si="115"/>
        <v/>
      </c>
      <c r="DA135" s="400"/>
      <c r="DW135" s="1" t="str">
        <f t="shared" si="116"/>
        <v/>
      </c>
      <c r="DX135" s="400"/>
      <c r="DY135" s="1"/>
      <c r="DZ135" s="1"/>
      <c r="EA135" s="1"/>
      <c r="EB135" s="1"/>
      <c r="EC135" s="1"/>
      <c r="ED135" s="1"/>
      <c r="EE135" s="1"/>
      <c r="EF135" s="1"/>
      <c r="EG135" s="1"/>
      <c r="EH135" s="1"/>
      <c r="EI135" s="1"/>
      <c r="EJ135" s="1" t="str">
        <f t="shared" si="112"/>
        <v/>
      </c>
      <c r="EK135" s="419"/>
      <c r="EN135" s="1"/>
      <c r="EO135" s="400"/>
      <c r="EP135" s="1" t="str">
        <f t="shared" si="113"/>
        <v/>
      </c>
      <c r="EQ135" s="468" t="s">
        <v>1</v>
      </c>
      <c r="ER135"/>
      <c r="FR135" s="1"/>
      <c r="HC135" s="4" t="str">
        <f t="shared" si="79"/>
        <v/>
      </c>
      <c r="HD135" s="213" t="str">
        <f t="shared" si="117"/>
        <v/>
      </c>
      <c r="HE135" s="400"/>
      <c r="KZ135" s="4" t="str">
        <f t="shared" si="80"/>
        <v/>
      </c>
      <c r="LA135" s="8" t="str">
        <f t="shared" si="126"/>
        <v/>
      </c>
      <c r="LB135" s="400"/>
      <c r="NR135" s="4" t="str">
        <f t="shared" si="81"/>
        <v/>
      </c>
      <c r="NS135" s="8" t="str">
        <f t="shared" si="114"/>
        <v/>
      </c>
      <c r="NT135" s="400"/>
      <c r="OE135" s="4" t="str">
        <f t="shared" si="82"/>
        <v/>
      </c>
      <c r="OF135" s="213" t="str">
        <f t="shared" si="107"/>
        <v/>
      </c>
      <c r="OT135" s="37"/>
      <c r="OU135" s="126" t="str">
        <f t="shared" si="98"/>
        <v/>
      </c>
      <c r="OV135" s="141" t="str">
        <f t="shared" si="108"/>
        <v/>
      </c>
      <c r="OW135" s="139" t="str">
        <f>IF(A135="","",SUM(Z$17:Z135))</f>
        <v/>
      </c>
      <c r="OX135" s="139" t="str">
        <f t="shared" si="118"/>
        <v/>
      </c>
      <c r="OY135" s="393" t="str">
        <f t="shared" si="119"/>
        <v/>
      </c>
      <c r="OZ135" s="140" t="str">
        <f t="shared" si="99"/>
        <v/>
      </c>
      <c r="PA135" s="394" t="str">
        <f t="shared" si="110"/>
        <v/>
      </c>
      <c r="PB135" s="130" t="str">
        <f>IF(A135="","",SUM(HB$17:HB135)+SUM(KY$17:KY135))</f>
        <v/>
      </c>
      <c r="PC135" s="131" t="str">
        <f t="shared" si="120"/>
        <v/>
      </c>
      <c r="PD135" s="393" t="str">
        <f t="shared" si="121"/>
        <v/>
      </c>
      <c r="PE135" s="133" t="str">
        <f t="shared" si="100"/>
        <v/>
      </c>
      <c r="PF135" s="394" t="str">
        <f t="shared" si="102"/>
        <v/>
      </c>
      <c r="PG135" s="133" t="str">
        <f t="shared" si="101"/>
        <v/>
      </c>
      <c r="PH135" s="394" t="str">
        <f t="shared" si="103"/>
        <v/>
      </c>
      <c r="PI135" s="135" t="str">
        <f t="shared" si="122"/>
        <v/>
      </c>
      <c r="PJ135" s="395" t="str">
        <f t="shared" si="104"/>
        <v/>
      </c>
      <c r="PK135" s="396" t="str">
        <f t="shared" si="127"/>
        <v/>
      </c>
      <c r="PL135" s="137" t="str">
        <f t="shared" si="123"/>
        <v/>
      </c>
      <c r="PM135" s="9" t="str">
        <f t="shared" si="124"/>
        <v/>
      </c>
      <c r="PN135" s="397" t="str">
        <f t="shared" si="125"/>
        <v/>
      </c>
      <c r="PO135" s="86" t="str">
        <f>IF(PI135="","",MAX(PI$15:PI135))</f>
        <v/>
      </c>
      <c r="PP135" s="398" t="str">
        <f t="shared" si="106"/>
        <v/>
      </c>
      <c r="PR135" s="399" t="s">
        <v>1</v>
      </c>
    </row>
    <row r="136" spans="1:434" s="184" customFormat="1" ht="16" customHeight="1" x14ac:dyDescent="0.45">
      <c r="A136" s="193"/>
      <c r="AA136" s="4" t="str">
        <f t="shared" si="78"/>
        <v/>
      </c>
      <c r="AB136" s="213" t="str">
        <f t="shared" si="95"/>
        <v/>
      </c>
      <c r="AC136" s="400"/>
      <c r="CY136" s="4" t="str">
        <f t="shared" si="109"/>
        <v/>
      </c>
      <c r="CZ136" s="213" t="str">
        <f t="shared" si="115"/>
        <v/>
      </c>
      <c r="DA136" s="400"/>
      <c r="DW136" s="1" t="str">
        <f t="shared" si="116"/>
        <v/>
      </c>
      <c r="DX136" s="400"/>
      <c r="DY136" s="1"/>
      <c r="DZ136" s="1"/>
      <c r="EA136" s="1"/>
      <c r="EB136" s="1"/>
      <c r="EC136" s="1"/>
      <c r="ED136" s="1"/>
      <c r="EE136" s="1"/>
      <c r="EF136" s="1"/>
      <c r="EG136" s="1"/>
      <c r="EH136" s="1"/>
      <c r="EI136" s="1"/>
      <c r="EJ136" s="1" t="str">
        <f t="shared" si="112"/>
        <v/>
      </c>
      <c r="EK136" s="419"/>
      <c r="EN136" s="1"/>
      <c r="EO136" s="400"/>
      <c r="EP136" s="1" t="str">
        <f t="shared" si="113"/>
        <v/>
      </c>
      <c r="EQ136" s="468" t="s">
        <v>1</v>
      </c>
      <c r="ER136"/>
      <c r="FR136" s="1"/>
      <c r="HC136" s="4" t="str">
        <f t="shared" si="79"/>
        <v/>
      </c>
      <c r="HD136" s="213" t="str">
        <f t="shared" si="117"/>
        <v/>
      </c>
      <c r="HE136" s="400"/>
      <c r="KZ136" s="4" t="str">
        <f t="shared" si="80"/>
        <v/>
      </c>
      <c r="LA136" s="8" t="str">
        <f t="shared" si="126"/>
        <v/>
      </c>
      <c r="LB136" s="400"/>
      <c r="NR136" s="4" t="str">
        <f t="shared" si="81"/>
        <v/>
      </c>
      <c r="NS136" s="8" t="str">
        <f t="shared" si="114"/>
        <v/>
      </c>
      <c r="NT136" s="400"/>
      <c r="OE136" s="4" t="str">
        <f t="shared" si="82"/>
        <v/>
      </c>
      <c r="OF136" s="213" t="str">
        <f t="shared" si="107"/>
        <v/>
      </c>
      <c r="OT136" s="37"/>
      <c r="OU136" s="126" t="str">
        <f t="shared" si="98"/>
        <v/>
      </c>
      <c r="OV136" s="141" t="str">
        <f t="shared" si="108"/>
        <v/>
      </c>
      <c r="OW136" s="139" t="str">
        <f>IF(A136="","",SUM(Z$17:Z136))</f>
        <v/>
      </c>
      <c r="OX136" s="139" t="str">
        <f t="shared" si="118"/>
        <v/>
      </c>
      <c r="OY136" s="393" t="str">
        <f t="shared" si="119"/>
        <v/>
      </c>
      <c r="OZ136" s="140" t="str">
        <f t="shared" si="99"/>
        <v/>
      </c>
      <c r="PA136" s="394" t="str">
        <f t="shared" si="110"/>
        <v/>
      </c>
      <c r="PB136" s="130" t="str">
        <f>IF(A136="","",SUM(HB$17:HB136)+SUM(KY$17:KY136))</f>
        <v/>
      </c>
      <c r="PC136" s="131" t="str">
        <f t="shared" si="120"/>
        <v/>
      </c>
      <c r="PD136" s="393" t="str">
        <f t="shared" si="121"/>
        <v/>
      </c>
      <c r="PE136" s="133" t="str">
        <f t="shared" si="100"/>
        <v/>
      </c>
      <c r="PF136" s="394" t="str">
        <f t="shared" si="102"/>
        <v/>
      </c>
      <c r="PG136" s="133" t="str">
        <f t="shared" si="101"/>
        <v/>
      </c>
      <c r="PH136" s="394" t="str">
        <f t="shared" si="103"/>
        <v/>
      </c>
      <c r="PI136" s="135" t="str">
        <f t="shared" si="122"/>
        <v/>
      </c>
      <c r="PJ136" s="395" t="str">
        <f t="shared" si="104"/>
        <v/>
      </c>
      <c r="PK136" s="396" t="str">
        <f t="shared" si="127"/>
        <v/>
      </c>
      <c r="PL136" s="137" t="str">
        <f t="shared" si="123"/>
        <v/>
      </c>
      <c r="PM136" s="9" t="str">
        <f t="shared" si="124"/>
        <v/>
      </c>
      <c r="PN136" s="397" t="str">
        <f t="shared" si="125"/>
        <v/>
      </c>
      <c r="PO136" s="86" t="str">
        <f>IF(PI136="","",MAX(PI$15:PI136))</f>
        <v/>
      </c>
      <c r="PP136" s="398" t="str">
        <f t="shared" si="106"/>
        <v/>
      </c>
      <c r="PR136" s="399" t="s">
        <v>1</v>
      </c>
    </row>
    <row r="137" spans="1:434" s="184" customFormat="1" ht="16" customHeight="1" x14ac:dyDescent="0.45">
      <c r="A137" s="193"/>
      <c r="AA137" s="4" t="str">
        <f t="shared" si="78"/>
        <v/>
      </c>
      <c r="AB137" s="213" t="str">
        <f t="shared" si="95"/>
        <v/>
      </c>
      <c r="AC137" s="400"/>
      <c r="CY137" s="4" t="str">
        <f t="shared" si="109"/>
        <v/>
      </c>
      <c r="CZ137" s="213" t="str">
        <f t="shared" si="115"/>
        <v/>
      </c>
      <c r="DA137" s="400"/>
      <c r="DW137" s="1" t="str">
        <f t="shared" si="116"/>
        <v/>
      </c>
      <c r="DX137" s="400"/>
      <c r="DY137" s="1"/>
      <c r="DZ137" s="1"/>
      <c r="EA137" s="1"/>
      <c r="EB137" s="1"/>
      <c r="EC137" s="1"/>
      <c r="ED137" s="1"/>
      <c r="EE137" s="1"/>
      <c r="EF137" s="1"/>
      <c r="EG137" s="1"/>
      <c r="EH137" s="1"/>
      <c r="EI137" s="1"/>
      <c r="EJ137" s="1" t="str">
        <f t="shared" si="112"/>
        <v/>
      </c>
      <c r="EK137" s="419"/>
      <c r="EN137" s="1"/>
      <c r="EO137" s="400"/>
      <c r="EP137" s="1" t="str">
        <f t="shared" si="113"/>
        <v/>
      </c>
      <c r="EQ137" s="468" t="s">
        <v>1</v>
      </c>
      <c r="ER137"/>
      <c r="FR137" s="1"/>
      <c r="HC137" s="4" t="str">
        <f t="shared" si="79"/>
        <v/>
      </c>
      <c r="HD137" s="213" t="str">
        <f t="shared" si="117"/>
        <v/>
      </c>
      <c r="HE137" s="400"/>
      <c r="KZ137" s="4" t="str">
        <f t="shared" si="80"/>
        <v/>
      </c>
      <c r="LA137" s="8" t="str">
        <f t="shared" si="126"/>
        <v/>
      </c>
      <c r="LB137" s="400"/>
      <c r="NR137" s="4" t="str">
        <f t="shared" si="81"/>
        <v/>
      </c>
      <c r="NS137" s="8" t="str">
        <f t="shared" si="114"/>
        <v/>
      </c>
      <c r="NT137" s="400"/>
      <c r="OE137" s="4" t="str">
        <f t="shared" si="82"/>
        <v/>
      </c>
      <c r="OF137" s="213" t="str">
        <f t="shared" si="107"/>
        <v/>
      </c>
      <c r="OT137" s="37"/>
      <c r="OU137" s="126" t="str">
        <f t="shared" si="98"/>
        <v/>
      </c>
      <c r="OV137" s="141" t="str">
        <f t="shared" si="108"/>
        <v/>
      </c>
      <c r="OW137" s="139" t="str">
        <f>IF(A137="","",SUM(Z$17:Z137))</f>
        <v/>
      </c>
      <c r="OX137" s="139" t="str">
        <f t="shared" si="118"/>
        <v/>
      </c>
      <c r="OY137" s="393" t="str">
        <f t="shared" si="119"/>
        <v/>
      </c>
      <c r="OZ137" s="140" t="str">
        <f t="shared" si="99"/>
        <v/>
      </c>
      <c r="PA137" s="394" t="str">
        <f t="shared" si="110"/>
        <v/>
      </c>
      <c r="PB137" s="130" t="str">
        <f>IF(A137="","",SUM(HB$17:HB137)+SUM(KY$17:KY137))</f>
        <v/>
      </c>
      <c r="PC137" s="131" t="str">
        <f t="shared" si="120"/>
        <v/>
      </c>
      <c r="PD137" s="393" t="str">
        <f t="shared" si="121"/>
        <v/>
      </c>
      <c r="PE137" s="133" t="str">
        <f t="shared" si="100"/>
        <v/>
      </c>
      <c r="PF137" s="394" t="str">
        <f t="shared" si="102"/>
        <v/>
      </c>
      <c r="PG137" s="133" t="str">
        <f t="shared" si="101"/>
        <v/>
      </c>
      <c r="PH137" s="394" t="str">
        <f t="shared" si="103"/>
        <v/>
      </c>
      <c r="PI137" s="135" t="str">
        <f t="shared" si="122"/>
        <v/>
      </c>
      <c r="PJ137" s="395" t="str">
        <f t="shared" si="104"/>
        <v/>
      </c>
      <c r="PK137" s="396" t="str">
        <f t="shared" si="127"/>
        <v/>
      </c>
      <c r="PL137" s="137" t="str">
        <f t="shared" si="123"/>
        <v/>
      </c>
      <c r="PM137" s="9" t="str">
        <f t="shared" si="124"/>
        <v/>
      </c>
      <c r="PN137" s="397" t="str">
        <f t="shared" si="125"/>
        <v/>
      </c>
      <c r="PO137" s="86" t="str">
        <f>IF(PI137="","",MAX(PI$15:PI137))</f>
        <v/>
      </c>
      <c r="PP137" s="398" t="str">
        <f t="shared" si="106"/>
        <v/>
      </c>
      <c r="PR137" s="399" t="s">
        <v>1</v>
      </c>
    </row>
    <row r="138" spans="1:434" s="184" customFormat="1" ht="16" customHeight="1" x14ac:dyDescent="0.45">
      <c r="A138" s="193"/>
      <c r="AA138" s="4" t="str">
        <f t="shared" si="78"/>
        <v/>
      </c>
      <c r="AB138" s="213" t="str">
        <f t="shared" si="95"/>
        <v/>
      </c>
      <c r="AC138" s="400"/>
      <c r="CY138" s="4" t="str">
        <f t="shared" si="109"/>
        <v/>
      </c>
      <c r="CZ138" s="213" t="str">
        <f t="shared" si="115"/>
        <v/>
      </c>
      <c r="DA138" s="400"/>
      <c r="DW138" s="1" t="str">
        <f t="shared" si="116"/>
        <v/>
      </c>
      <c r="DX138" s="400"/>
      <c r="DY138" s="1"/>
      <c r="DZ138" s="1"/>
      <c r="EA138" s="1"/>
      <c r="EB138" s="1"/>
      <c r="EC138" s="1"/>
      <c r="ED138" s="1"/>
      <c r="EE138" s="1"/>
      <c r="EF138" s="1"/>
      <c r="EG138" s="1"/>
      <c r="EH138" s="1"/>
      <c r="EI138" s="1"/>
      <c r="EJ138" s="1" t="str">
        <f t="shared" si="112"/>
        <v/>
      </c>
      <c r="EK138" s="419"/>
      <c r="EN138" s="1"/>
      <c r="EO138" s="400"/>
      <c r="EP138" s="1" t="str">
        <f t="shared" si="113"/>
        <v/>
      </c>
      <c r="EQ138" s="468" t="s">
        <v>1</v>
      </c>
      <c r="ER138"/>
      <c r="FR138" s="1"/>
      <c r="HC138" s="4" t="str">
        <f t="shared" si="79"/>
        <v/>
      </c>
      <c r="HD138" s="213" t="str">
        <f t="shared" si="117"/>
        <v/>
      </c>
      <c r="HE138" s="400"/>
      <c r="KZ138" s="4" t="str">
        <f t="shared" si="80"/>
        <v/>
      </c>
      <c r="LA138" s="8" t="str">
        <f t="shared" si="126"/>
        <v/>
      </c>
      <c r="LB138" s="400"/>
      <c r="NR138" s="4" t="str">
        <f t="shared" si="81"/>
        <v/>
      </c>
      <c r="NS138" s="8" t="str">
        <f t="shared" si="114"/>
        <v/>
      </c>
      <c r="NT138" s="400"/>
      <c r="OE138" s="4" t="str">
        <f t="shared" si="82"/>
        <v/>
      </c>
      <c r="OF138" s="213" t="str">
        <f t="shared" si="107"/>
        <v/>
      </c>
      <c r="OT138" s="37"/>
      <c r="OU138" s="126" t="str">
        <f t="shared" si="98"/>
        <v/>
      </c>
      <c r="OV138" s="141" t="str">
        <f t="shared" si="108"/>
        <v/>
      </c>
      <c r="OW138" s="139" t="str">
        <f>IF(A138="","",SUM(Z$17:Z138))</f>
        <v/>
      </c>
      <c r="OX138" s="139" t="str">
        <f t="shared" si="118"/>
        <v/>
      </c>
      <c r="OY138" s="393" t="str">
        <f t="shared" si="119"/>
        <v/>
      </c>
      <c r="OZ138" s="140" t="str">
        <f t="shared" si="99"/>
        <v/>
      </c>
      <c r="PA138" s="394" t="str">
        <f t="shared" si="110"/>
        <v/>
      </c>
      <c r="PB138" s="130" t="str">
        <f>IF(A138="","",SUM(HB$17:HB138)+SUM(KY$17:KY138))</f>
        <v/>
      </c>
      <c r="PC138" s="131" t="str">
        <f t="shared" si="120"/>
        <v/>
      </c>
      <c r="PD138" s="393" t="str">
        <f t="shared" si="121"/>
        <v/>
      </c>
      <c r="PE138" s="133" t="str">
        <f t="shared" si="100"/>
        <v/>
      </c>
      <c r="PF138" s="394" t="str">
        <f t="shared" si="102"/>
        <v/>
      </c>
      <c r="PG138" s="133" t="str">
        <f t="shared" si="101"/>
        <v/>
      </c>
      <c r="PH138" s="394" t="str">
        <f t="shared" si="103"/>
        <v/>
      </c>
      <c r="PI138" s="135" t="str">
        <f t="shared" si="122"/>
        <v/>
      </c>
      <c r="PJ138" s="395" t="str">
        <f t="shared" si="104"/>
        <v/>
      </c>
      <c r="PK138" s="396" t="str">
        <f t="shared" si="127"/>
        <v/>
      </c>
      <c r="PL138" s="137" t="str">
        <f t="shared" si="123"/>
        <v/>
      </c>
      <c r="PM138" s="9" t="str">
        <f t="shared" si="124"/>
        <v/>
      </c>
      <c r="PN138" s="397" t="str">
        <f t="shared" si="125"/>
        <v/>
      </c>
      <c r="PO138" s="86" t="str">
        <f>IF(PI138="","",MAX(PI$15:PI138))</f>
        <v/>
      </c>
      <c r="PP138" s="398" t="str">
        <f t="shared" si="106"/>
        <v/>
      </c>
      <c r="PR138" s="399" t="s">
        <v>1</v>
      </c>
    </row>
    <row r="139" spans="1:434" s="184" customFormat="1" ht="16" customHeight="1" x14ac:dyDescent="0.45">
      <c r="A139" s="193"/>
      <c r="AA139" s="4" t="str">
        <f t="shared" si="78"/>
        <v/>
      </c>
      <c r="AB139" s="213" t="str">
        <f t="shared" si="95"/>
        <v/>
      </c>
      <c r="AC139" s="400"/>
      <c r="CY139" s="4" t="str">
        <f t="shared" si="109"/>
        <v/>
      </c>
      <c r="CZ139" s="213" t="str">
        <f t="shared" si="115"/>
        <v/>
      </c>
      <c r="DA139" s="400"/>
      <c r="DW139" s="1" t="str">
        <f t="shared" si="116"/>
        <v/>
      </c>
      <c r="DX139" s="400"/>
      <c r="DY139" s="1"/>
      <c r="DZ139" s="1"/>
      <c r="EA139" s="1"/>
      <c r="EB139" s="1"/>
      <c r="EC139" s="1"/>
      <c r="ED139" s="1"/>
      <c r="EE139" s="1"/>
      <c r="EF139" s="1"/>
      <c r="EG139" s="1"/>
      <c r="EH139" s="1"/>
      <c r="EI139" s="1"/>
      <c r="EJ139" s="1" t="str">
        <f t="shared" si="112"/>
        <v/>
      </c>
      <c r="EK139" s="419"/>
      <c r="EN139" s="1"/>
      <c r="EO139" s="400"/>
      <c r="EP139" s="1" t="str">
        <f t="shared" si="113"/>
        <v/>
      </c>
      <c r="EQ139" s="468" t="s">
        <v>1</v>
      </c>
      <c r="ER139"/>
      <c r="FR139" s="1"/>
      <c r="HC139" s="4" t="str">
        <f t="shared" si="79"/>
        <v/>
      </c>
      <c r="HD139" s="213" t="str">
        <f t="shared" si="117"/>
        <v/>
      </c>
      <c r="HE139" s="400"/>
      <c r="KZ139" s="4" t="str">
        <f t="shared" si="80"/>
        <v/>
      </c>
      <c r="LA139" s="8" t="str">
        <f t="shared" si="126"/>
        <v/>
      </c>
      <c r="LB139" s="400"/>
      <c r="NR139" s="4" t="str">
        <f t="shared" si="81"/>
        <v/>
      </c>
      <c r="NS139" s="8" t="str">
        <f t="shared" si="114"/>
        <v/>
      </c>
      <c r="NT139" s="400"/>
      <c r="OE139" s="4" t="str">
        <f t="shared" si="82"/>
        <v/>
      </c>
      <c r="OF139" s="213" t="str">
        <f t="shared" si="107"/>
        <v/>
      </c>
      <c r="OT139" s="37"/>
      <c r="OU139" s="126" t="str">
        <f t="shared" si="98"/>
        <v/>
      </c>
      <c r="OV139" s="141" t="str">
        <f t="shared" si="108"/>
        <v/>
      </c>
      <c r="OW139" s="139" t="str">
        <f>IF(A139="","",SUM(Z$17:Z139))</f>
        <v/>
      </c>
      <c r="OX139" s="139" t="str">
        <f t="shared" si="118"/>
        <v/>
      </c>
      <c r="OY139" s="393" t="str">
        <f t="shared" si="119"/>
        <v/>
      </c>
      <c r="OZ139" s="140" t="str">
        <f t="shared" si="99"/>
        <v/>
      </c>
      <c r="PA139" s="394" t="str">
        <f t="shared" si="110"/>
        <v/>
      </c>
      <c r="PB139" s="130" t="str">
        <f>IF(A139="","",SUM(HB$17:HB139)+SUM(KY$17:KY139))</f>
        <v/>
      </c>
      <c r="PC139" s="131" t="str">
        <f t="shared" si="120"/>
        <v/>
      </c>
      <c r="PD139" s="393" t="str">
        <f t="shared" si="121"/>
        <v/>
      </c>
      <c r="PE139" s="133" t="str">
        <f t="shared" si="100"/>
        <v/>
      </c>
      <c r="PF139" s="394" t="str">
        <f t="shared" si="102"/>
        <v/>
      </c>
      <c r="PG139" s="133" t="str">
        <f t="shared" si="101"/>
        <v/>
      </c>
      <c r="PH139" s="394" t="str">
        <f t="shared" si="103"/>
        <v/>
      </c>
      <c r="PI139" s="135" t="str">
        <f t="shared" si="122"/>
        <v/>
      </c>
      <c r="PJ139" s="395" t="str">
        <f t="shared" si="104"/>
        <v/>
      </c>
      <c r="PK139" s="396" t="str">
        <f t="shared" si="127"/>
        <v/>
      </c>
      <c r="PL139" s="137" t="str">
        <f t="shared" si="123"/>
        <v/>
      </c>
      <c r="PM139" s="9" t="str">
        <f t="shared" si="124"/>
        <v/>
      </c>
      <c r="PN139" s="397" t="str">
        <f t="shared" si="125"/>
        <v/>
      </c>
      <c r="PO139" s="86" t="str">
        <f>IF(PI139="","",MAX(PI$15:PI139))</f>
        <v/>
      </c>
      <c r="PP139" s="398" t="str">
        <f t="shared" si="106"/>
        <v/>
      </c>
      <c r="PR139" s="399" t="s">
        <v>1</v>
      </c>
    </row>
    <row r="140" spans="1:434" s="184" customFormat="1" ht="16" customHeight="1" x14ac:dyDescent="0.45">
      <c r="A140" s="193"/>
      <c r="AA140" s="4" t="str">
        <f t="shared" si="78"/>
        <v/>
      </c>
      <c r="AB140" s="213" t="str">
        <f t="shared" si="95"/>
        <v/>
      </c>
      <c r="AC140" s="400"/>
      <c r="CY140" s="4" t="str">
        <f t="shared" si="109"/>
        <v/>
      </c>
      <c r="CZ140" s="213" t="str">
        <f t="shared" si="115"/>
        <v/>
      </c>
      <c r="DA140" s="400"/>
      <c r="DW140" s="1" t="str">
        <f t="shared" si="116"/>
        <v/>
      </c>
      <c r="DX140" s="400"/>
      <c r="DY140" s="1"/>
      <c r="DZ140" s="1"/>
      <c r="EA140" s="1"/>
      <c r="EB140" s="1"/>
      <c r="EC140" s="1"/>
      <c r="ED140" s="1"/>
      <c r="EE140" s="1"/>
      <c r="EF140" s="1"/>
      <c r="EG140" s="1"/>
      <c r="EH140" s="1"/>
      <c r="EI140" s="1"/>
      <c r="EJ140" s="1" t="str">
        <f t="shared" si="112"/>
        <v/>
      </c>
      <c r="EK140" s="419"/>
      <c r="EN140" s="1"/>
      <c r="EO140" s="400"/>
      <c r="EP140" s="1" t="str">
        <f t="shared" si="113"/>
        <v/>
      </c>
      <c r="EQ140" s="468" t="s">
        <v>1</v>
      </c>
      <c r="ER140"/>
      <c r="FR140" s="1"/>
      <c r="HC140" s="4" t="str">
        <f t="shared" si="79"/>
        <v/>
      </c>
      <c r="HD140" s="213" t="str">
        <f t="shared" si="117"/>
        <v/>
      </c>
      <c r="HE140" s="400"/>
      <c r="KZ140" s="4" t="str">
        <f t="shared" si="80"/>
        <v/>
      </c>
      <c r="LA140" s="8" t="str">
        <f t="shared" si="126"/>
        <v/>
      </c>
      <c r="LB140" s="400"/>
      <c r="NR140" s="4" t="str">
        <f t="shared" si="81"/>
        <v/>
      </c>
      <c r="NS140" s="8" t="str">
        <f t="shared" si="114"/>
        <v/>
      </c>
      <c r="NT140" s="400"/>
      <c r="OE140" s="4" t="str">
        <f t="shared" si="82"/>
        <v/>
      </c>
      <c r="OF140" s="213" t="str">
        <f t="shared" si="107"/>
        <v/>
      </c>
      <c r="OT140" s="37"/>
      <c r="OU140" s="126" t="str">
        <f t="shared" si="98"/>
        <v/>
      </c>
      <c r="OV140" s="141" t="str">
        <f t="shared" si="108"/>
        <v/>
      </c>
      <c r="OW140" s="139" t="str">
        <f>IF(A140="","",SUM(Z$17:Z140))</f>
        <v/>
      </c>
      <c r="OX140" s="139" t="str">
        <f t="shared" si="118"/>
        <v/>
      </c>
      <c r="OY140" s="393" t="str">
        <f t="shared" si="119"/>
        <v/>
      </c>
      <c r="OZ140" s="140" t="str">
        <f t="shared" si="99"/>
        <v/>
      </c>
      <c r="PA140" s="394" t="str">
        <f t="shared" si="110"/>
        <v/>
      </c>
      <c r="PB140" s="130" t="str">
        <f>IF(A140="","",SUM(HB$17:HB140)+SUM(KY$17:KY140))</f>
        <v/>
      </c>
      <c r="PC140" s="131" t="str">
        <f t="shared" si="120"/>
        <v/>
      </c>
      <c r="PD140" s="393" t="str">
        <f t="shared" si="121"/>
        <v/>
      </c>
      <c r="PE140" s="133" t="str">
        <f t="shared" si="100"/>
        <v/>
      </c>
      <c r="PF140" s="394" t="str">
        <f t="shared" si="102"/>
        <v/>
      </c>
      <c r="PG140" s="133" t="str">
        <f t="shared" si="101"/>
        <v/>
      </c>
      <c r="PH140" s="394" t="str">
        <f t="shared" si="103"/>
        <v/>
      </c>
      <c r="PI140" s="135" t="str">
        <f t="shared" si="122"/>
        <v/>
      </c>
      <c r="PJ140" s="395" t="str">
        <f t="shared" si="104"/>
        <v/>
      </c>
      <c r="PK140" s="396" t="str">
        <f t="shared" si="105"/>
        <v/>
      </c>
      <c r="PL140" s="137" t="str">
        <f t="shared" si="123"/>
        <v/>
      </c>
      <c r="PM140" s="9" t="str">
        <f t="shared" si="124"/>
        <v/>
      </c>
      <c r="PN140" s="397" t="str">
        <f t="shared" si="125"/>
        <v/>
      </c>
      <c r="PO140" s="86" t="str">
        <f>IF(PI140="","",MAX(PI$15:PI140))</f>
        <v/>
      </c>
      <c r="PP140" s="398" t="str">
        <f t="shared" si="106"/>
        <v/>
      </c>
      <c r="PR140" s="399" t="s">
        <v>1</v>
      </c>
    </row>
    <row r="141" spans="1:434" s="184" customFormat="1" ht="16" customHeight="1" x14ac:dyDescent="0.45">
      <c r="A141" s="193"/>
      <c r="AA141" s="4" t="str">
        <f t="shared" si="78"/>
        <v/>
      </c>
      <c r="AB141" s="213" t="str">
        <f t="shared" si="95"/>
        <v/>
      </c>
      <c r="AC141" s="400"/>
      <c r="CY141" s="4" t="str">
        <f t="shared" si="109"/>
        <v/>
      </c>
      <c r="CZ141" s="213" t="str">
        <f t="shared" si="115"/>
        <v/>
      </c>
      <c r="DA141" s="400"/>
      <c r="DW141" s="1" t="str">
        <f t="shared" si="116"/>
        <v/>
      </c>
      <c r="DX141" s="400"/>
      <c r="DY141" s="1"/>
      <c r="DZ141" s="1"/>
      <c r="EA141" s="1"/>
      <c r="EB141" s="1"/>
      <c r="EC141" s="1"/>
      <c r="ED141" s="1"/>
      <c r="EE141" s="1"/>
      <c r="EF141" s="1"/>
      <c r="EG141" s="1"/>
      <c r="EH141" s="1"/>
      <c r="EI141" s="1"/>
      <c r="EJ141" s="1" t="str">
        <f t="shared" si="112"/>
        <v/>
      </c>
      <c r="EK141" s="419"/>
      <c r="EN141" s="1"/>
      <c r="EO141" s="400"/>
      <c r="EP141" s="1" t="str">
        <f t="shared" si="113"/>
        <v/>
      </c>
      <c r="EQ141" s="468" t="s">
        <v>1</v>
      </c>
      <c r="ER141"/>
      <c r="FR141" s="1"/>
      <c r="HC141" s="4" t="str">
        <f t="shared" si="79"/>
        <v/>
      </c>
      <c r="HD141" s="213" t="str">
        <f t="shared" si="117"/>
        <v/>
      </c>
      <c r="HE141" s="400"/>
      <c r="KZ141" s="4" t="str">
        <f t="shared" si="80"/>
        <v/>
      </c>
      <c r="LA141" s="8" t="str">
        <f t="shared" si="126"/>
        <v/>
      </c>
      <c r="LB141" s="400"/>
      <c r="NR141" s="4" t="str">
        <f t="shared" si="81"/>
        <v/>
      </c>
      <c r="NS141" s="8" t="str">
        <f t="shared" si="114"/>
        <v/>
      </c>
      <c r="NT141" s="400"/>
      <c r="OE141" s="4" t="str">
        <f t="shared" si="82"/>
        <v/>
      </c>
      <c r="OF141" s="213" t="str">
        <f t="shared" si="107"/>
        <v/>
      </c>
      <c r="OT141" s="37"/>
      <c r="OU141" s="126" t="str">
        <f t="shared" si="98"/>
        <v/>
      </c>
      <c r="OV141" s="141" t="str">
        <f t="shared" si="108"/>
        <v/>
      </c>
      <c r="OW141" s="139" t="str">
        <f>IF(A141="","",SUM(Z$17:Z141))</f>
        <v/>
      </c>
      <c r="OX141" s="139" t="str">
        <f t="shared" si="118"/>
        <v/>
      </c>
      <c r="OY141" s="393" t="str">
        <f t="shared" si="119"/>
        <v/>
      </c>
      <c r="OZ141" s="140" t="str">
        <f t="shared" si="99"/>
        <v/>
      </c>
      <c r="PA141" s="394" t="str">
        <f t="shared" si="110"/>
        <v/>
      </c>
      <c r="PB141" s="130" t="str">
        <f>IF(A141="","",SUM(HB$17:HB141)+SUM(KY$17:KY141))</f>
        <v/>
      </c>
      <c r="PC141" s="131" t="str">
        <f t="shared" si="120"/>
        <v/>
      </c>
      <c r="PD141" s="393" t="str">
        <f t="shared" si="121"/>
        <v/>
      </c>
      <c r="PE141" s="133" t="str">
        <f t="shared" si="100"/>
        <v/>
      </c>
      <c r="PF141" s="394" t="str">
        <f t="shared" si="102"/>
        <v/>
      </c>
      <c r="PG141" s="133" t="str">
        <f t="shared" si="101"/>
        <v/>
      </c>
      <c r="PH141" s="394" t="str">
        <f t="shared" si="103"/>
        <v/>
      </c>
      <c r="PI141" s="135" t="str">
        <f t="shared" si="122"/>
        <v/>
      </c>
      <c r="PJ141" s="395" t="str">
        <f t="shared" si="104"/>
        <v/>
      </c>
      <c r="PK141" s="396" t="str">
        <f t="shared" si="105"/>
        <v/>
      </c>
      <c r="PL141" s="137" t="str">
        <f t="shared" si="123"/>
        <v/>
      </c>
      <c r="PM141" s="9" t="str">
        <f t="shared" si="124"/>
        <v/>
      </c>
      <c r="PN141" s="397" t="str">
        <f t="shared" si="125"/>
        <v/>
      </c>
      <c r="PO141" s="86" t="str">
        <f>IF(PI141="","",MAX(PI$15:PI141))</f>
        <v/>
      </c>
      <c r="PP141" s="398" t="str">
        <f t="shared" si="106"/>
        <v/>
      </c>
      <c r="PR141" s="399" t="s">
        <v>1</v>
      </c>
    </row>
    <row r="142" spans="1:434" s="184" customFormat="1" ht="16" customHeight="1" x14ac:dyDescent="0.45">
      <c r="A142" s="193"/>
      <c r="AA142" s="4" t="str">
        <f t="shared" si="78"/>
        <v/>
      </c>
      <c r="AB142" s="213" t="str">
        <f t="shared" si="95"/>
        <v/>
      </c>
      <c r="AC142" s="400"/>
      <c r="CY142" s="4" t="str">
        <f t="shared" si="109"/>
        <v/>
      </c>
      <c r="CZ142" s="213" t="str">
        <f t="shared" si="115"/>
        <v/>
      </c>
      <c r="DA142" s="400"/>
      <c r="DW142" s="1" t="str">
        <f t="shared" si="116"/>
        <v/>
      </c>
      <c r="DX142" s="400"/>
      <c r="DY142" s="1"/>
      <c r="DZ142" s="1"/>
      <c r="EA142" s="1"/>
      <c r="EB142" s="1"/>
      <c r="EC142" s="1"/>
      <c r="ED142" s="1"/>
      <c r="EE142" s="1"/>
      <c r="EF142" s="1"/>
      <c r="EG142" s="1"/>
      <c r="EH142" s="1"/>
      <c r="EI142" s="1"/>
      <c r="EJ142" s="1" t="str">
        <f t="shared" si="112"/>
        <v/>
      </c>
      <c r="EK142" s="419"/>
      <c r="EN142" s="1"/>
      <c r="EO142" s="400"/>
      <c r="EP142" s="1" t="str">
        <f t="shared" si="113"/>
        <v/>
      </c>
      <c r="EQ142" s="468" t="s">
        <v>1</v>
      </c>
      <c r="ER142"/>
      <c r="FR142" s="1"/>
      <c r="HC142" s="4" t="str">
        <f t="shared" si="79"/>
        <v/>
      </c>
      <c r="HD142" s="213" t="str">
        <f t="shared" si="117"/>
        <v/>
      </c>
      <c r="HE142" s="400"/>
      <c r="KZ142" s="4" t="str">
        <f t="shared" si="80"/>
        <v/>
      </c>
      <c r="LA142" s="8" t="str">
        <f t="shared" si="126"/>
        <v/>
      </c>
      <c r="LB142" s="400"/>
      <c r="NR142" s="4" t="str">
        <f t="shared" si="81"/>
        <v/>
      </c>
      <c r="NS142" s="8" t="str">
        <f t="shared" si="114"/>
        <v/>
      </c>
      <c r="NT142" s="400"/>
      <c r="OE142" s="4" t="str">
        <f t="shared" si="82"/>
        <v/>
      </c>
      <c r="OF142" s="213" t="str">
        <f t="shared" si="107"/>
        <v/>
      </c>
      <c r="OT142" s="37"/>
      <c r="OU142" s="126" t="str">
        <f t="shared" si="98"/>
        <v/>
      </c>
      <c r="OV142" s="141" t="str">
        <f t="shared" si="108"/>
        <v/>
      </c>
      <c r="OW142" s="139" t="str">
        <f>IF(A142="","",SUM(Z$17:Z142))</f>
        <v/>
      </c>
      <c r="OX142" s="139" t="str">
        <f t="shared" si="118"/>
        <v/>
      </c>
      <c r="OY142" s="393" t="str">
        <f t="shared" si="119"/>
        <v/>
      </c>
      <c r="OZ142" s="140" t="str">
        <f t="shared" si="99"/>
        <v/>
      </c>
      <c r="PA142" s="394" t="str">
        <f t="shared" si="110"/>
        <v/>
      </c>
      <c r="PB142" s="130" t="str">
        <f>IF(A142="","",SUM(HB$17:HB142)+SUM(KY$17:KY142))</f>
        <v/>
      </c>
      <c r="PC142" s="131" t="str">
        <f t="shared" si="120"/>
        <v/>
      </c>
      <c r="PD142" s="393" t="str">
        <f t="shared" si="121"/>
        <v/>
      </c>
      <c r="PE142" s="133" t="str">
        <f t="shared" si="100"/>
        <v/>
      </c>
      <c r="PF142" s="394" t="str">
        <f t="shared" ref="PF142:PF144" si="128">IF(A142="","",(PE142-PE141)/PE141)</f>
        <v/>
      </c>
      <c r="PG142" s="133" t="str">
        <f t="shared" si="101"/>
        <v/>
      </c>
      <c r="PH142" s="394" t="str">
        <f t="shared" ref="PH142:PH144" si="129">IF(P142="","",(PG142-PG141)/PG141)</f>
        <v/>
      </c>
      <c r="PI142" s="135" t="str">
        <f t="shared" si="122"/>
        <v/>
      </c>
      <c r="PJ142" s="395" t="str">
        <f t="shared" si="104"/>
        <v/>
      </c>
      <c r="PK142" s="396" t="str">
        <f t="shared" si="105"/>
        <v/>
      </c>
      <c r="PL142" s="137" t="str">
        <f t="shared" si="123"/>
        <v/>
      </c>
      <c r="PM142" s="9" t="str">
        <f t="shared" si="124"/>
        <v/>
      </c>
      <c r="PN142" s="397" t="str">
        <f t="shared" si="125"/>
        <v/>
      </c>
      <c r="PO142" s="86" t="str">
        <f>IF(PI142="","",MAX(PI$15:PI142))</f>
        <v/>
      </c>
      <c r="PP142" s="398" t="str">
        <f t="shared" si="106"/>
        <v/>
      </c>
      <c r="PR142" s="399" t="s">
        <v>1</v>
      </c>
    </row>
    <row r="143" spans="1:434" s="184" customFormat="1" ht="16" customHeight="1" x14ac:dyDescent="0.45">
      <c r="A143" s="193"/>
      <c r="AA143" s="4" t="str">
        <f t="shared" si="78"/>
        <v/>
      </c>
      <c r="AB143" s="213" t="str">
        <f t="shared" si="95"/>
        <v/>
      </c>
      <c r="AC143" s="400"/>
      <c r="CY143" s="4" t="str">
        <f t="shared" si="109"/>
        <v/>
      </c>
      <c r="CZ143" s="213" t="str">
        <f t="shared" si="115"/>
        <v/>
      </c>
      <c r="DA143" s="400"/>
      <c r="DW143" s="1" t="str">
        <f t="shared" si="116"/>
        <v/>
      </c>
      <c r="DX143" s="400"/>
      <c r="DY143" s="1"/>
      <c r="DZ143" s="1"/>
      <c r="EA143" s="1"/>
      <c r="EB143" s="1"/>
      <c r="EC143" s="1"/>
      <c r="ED143" s="1"/>
      <c r="EE143" s="1"/>
      <c r="EF143" s="1"/>
      <c r="EG143" s="1"/>
      <c r="EH143" s="1"/>
      <c r="EI143" s="1"/>
      <c r="EJ143" s="1" t="str">
        <f t="shared" si="112"/>
        <v/>
      </c>
      <c r="EK143" s="419"/>
      <c r="EN143" s="1"/>
      <c r="EO143" s="400"/>
      <c r="EP143" s="1" t="str">
        <f t="shared" si="113"/>
        <v/>
      </c>
      <c r="EQ143" s="468" t="s">
        <v>1</v>
      </c>
      <c r="ER143"/>
      <c r="FR143" s="1"/>
      <c r="HC143" s="4" t="str">
        <f t="shared" si="79"/>
        <v/>
      </c>
      <c r="HD143" s="213" t="str">
        <f t="shared" si="117"/>
        <v/>
      </c>
      <c r="HE143" s="400"/>
      <c r="KZ143" s="4" t="str">
        <f t="shared" si="80"/>
        <v/>
      </c>
      <c r="LA143" s="8" t="str">
        <f t="shared" si="126"/>
        <v/>
      </c>
      <c r="LB143" s="400"/>
      <c r="NR143" s="4" t="str">
        <f t="shared" si="81"/>
        <v/>
      </c>
      <c r="NS143" s="8" t="str">
        <f t="shared" si="114"/>
        <v/>
      </c>
      <c r="NT143" s="400"/>
      <c r="OE143" s="4" t="str">
        <f t="shared" si="82"/>
        <v/>
      </c>
      <c r="OF143" s="213" t="str">
        <f t="shared" si="107"/>
        <v/>
      </c>
      <c r="OT143" s="37"/>
      <c r="OU143" s="126" t="str">
        <f t="shared" si="98"/>
        <v/>
      </c>
      <c r="OV143" s="141" t="str">
        <f t="shared" si="108"/>
        <v/>
      </c>
      <c r="OW143" s="139" t="str">
        <f>IF(A143="","",SUM(Z$17:Z143))</f>
        <v/>
      </c>
      <c r="OX143" s="139" t="str">
        <f t="shared" si="118"/>
        <v/>
      </c>
      <c r="OY143" s="393" t="str">
        <f t="shared" si="119"/>
        <v/>
      </c>
      <c r="OZ143" s="140" t="str">
        <f t="shared" si="99"/>
        <v/>
      </c>
      <c r="PA143" s="394" t="str">
        <f t="shared" si="110"/>
        <v/>
      </c>
      <c r="PB143" s="130" t="str">
        <f>IF(A143="","",SUM(HB$17:HB143)+SUM(KY$17:KY143))</f>
        <v/>
      </c>
      <c r="PC143" s="131" t="str">
        <f t="shared" si="120"/>
        <v/>
      </c>
      <c r="PD143" s="393" t="str">
        <f t="shared" si="121"/>
        <v/>
      </c>
      <c r="PE143" s="133" t="str">
        <f t="shared" si="100"/>
        <v/>
      </c>
      <c r="PF143" s="394" t="str">
        <f t="shared" si="128"/>
        <v/>
      </c>
      <c r="PG143" s="133" t="str">
        <f t="shared" si="101"/>
        <v/>
      </c>
      <c r="PH143" s="394" t="str">
        <f t="shared" si="129"/>
        <v/>
      </c>
      <c r="PI143" s="135" t="str">
        <f t="shared" si="122"/>
        <v/>
      </c>
      <c r="PJ143" s="395" t="str">
        <f t="shared" si="104"/>
        <v/>
      </c>
      <c r="PK143" s="396" t="str">
        <f t="shared" si="105"/>
        <v/>
      </c>
      <c r="PL143" s="137" t="str">
        <f t="shared" si="123"/>
        <v/>
      </c>
      <c r="PM143" s="9" t="str">
        <f t="shared" si="124"/>
        <v/>
      </c>
      <c r="PN143" s="397" t="str">
        <f t="shared" si="125"/>
        <v/>
      </c>
      <c r="PO143" s="86" t="str">
        <f>IF(PI143="","",MAX(PI$15:PI143))</f>
        <v/>
      </c>
      <c r="PP143" s="398" t="str">
        <f t="shared" si="106"/>
        <v/>
      </c>
      <c r="PR143" s="399" t="s">
        <v>1</v>
      </c>
    </row>
    <row r="144" spans="1:434" s="184" customFormat="1" ht="16" customHeight="1" x14ac:dyDescent="0.45">
      <c r="A144" s="193"/>
      <c r="AA144" s="4" t="str">
        <f t="shared" si="78"/>
        <v/>
      </c>
      <c r="AB144" s="213" t="str">
        <f t="shared" si="95"/>
        <v/>
      </c>
      <c r="AC144" s="400"/>
      <c r="CY144" s="4" t="str">
        <f t="shared" si="109"/>
        <v/>
      </c>
      <c r="CZ144" s="213" t="str">
        <f t="shared" si="115"/>
        <v/>
      </c>
      <c r="DA144" s="400"/>
      <c r="DW144" s="1" t="str">
        <f t="shared" si="116"/>
        <v/>
      </c>
      <c r="DX144" s="400"/>
      <c r="DY144" s="1"/>
      <c r="DZ144" s="1"/>
      <c r="EA144" s="1"/>
      <c r="EB144" s="1"/>
      <c r="EC144" s="1"/>
      <c r="ED144" s="1"/>
      <c r="EE144" s="1"/>
      <c r="EF144" s="1"/>
      <c r="EG144" s="1"/>
      <c r="EH144" s="1"/>
      <c r="EI144" s="1"/>
      <c r="EJ144" s="1" t="str">
        <f t="shared" si="112"/>
        <v/>
      </c>
      <c r="EK144" s="419"/>
      <c r="EN144" s="1"/>
      <c r="EO144" s="400"/>
      <c r="EP144" s="1" t="str">
        <f t="shared" si="113"/>
        <v/>
      </c>
      <c r="EQ144" s="468" t="s">
        <v>1</v>
      </c>
      <c r="ER144"/>
      <c r="FR144" s="1"/>
      <c r="HC144" s="4" t="str">
        <f t="shared" si="79"/>
        <v/>
      </c>
      <c r="HD144" s="213" t="str">
        <f t="shared" si="117"/>
        <v/>
      </c>
      <c r="HE144" s="400"/>
      <c r="KZ144" s="4" t="str">
        <f t="shared" si="80"/>
        <v/>
      </c>
      <c r="LA144" s="8" t="str">
        <f t="shared" si="126"/>
        <v/>
      </c>
      <c r="LB144" s="400"/>
      <c r="NR144" s="4" t="str">
        <f t="shared" si="81"/>
        <v/>
      </c>
      <c r="NS144" s="8" t="str">
        <f t="shared" si="114"/>
        <v/>
      </c>
      <c r="NT144" s="400"/>
      <c r="OE144" s="4" t="str">
        <f t="shared" si="82"/>
        <v/>
      </c>
      <c r="OF144" s="213" t="str">
        <f t="shared" si="107"/>
        <v/>
      </c>
      <c r="OT144" s="37"/>
      <c r="OU144" s="126" t="str">
        <f t="shared" si="98"/>
        <v/>
      </c>
      <c r="OV144" s="141" t="str">
        <f t="shared" ref="OV144" si="130">IF(A144="","",(OU144-OU143)/OU143)</f>
        <v/>
      </c>
      <c r="OW144" s="139" t="str">
        <f>IF(A144="","",SUM(Z$17:Z144))</f>
        <v/>
      </c>
      <c r="OX144" s="139" t="str">
        <f t="shared" si="118"/>
        <v/>
      </c>
      <c r="OY144" s="393" t="str">
        <f t="shared" si="119"/>
        <v/>
      </c>
      <c r="OZ144" s="140" t="str">
        <f t="shared" si="99"/>
        <v/>
      </c>
      <c r="PA144" s="394" t="str">
        <f t="shared" si="110"/>
        <v/>
      </c>
      <c r="PB144" s="130" t="str">
        <f>IF(A144="","",SUM(HB$17:HB144)+SUM(KY$17:KY144))</f>
        <v/>
      </c>
      <c r="PC144" s="131" t="str">
        <f t="shared" si="120"/>
        <v/>
      </c>
      <c r="PD144" s="393" t="str">
        <f t="shared" si="121"/>
        <v/>
      </c>
      <c r="PE144" s="133" t="str">
        <f t="shared" si="100"/>
        <v/>
      </c>
      <c r="PF144" s="394" t="str">
        <f t="shared" si="128"/>
        <v/>
      </c>
      <c r="PG144" s="133" t="str">
        <f t="shared" si="101"/>
        <v/>
      </c>
      <c r="PH144" s="394" t="str">
        <f t="shared" si="129"/>
        <v/>
      </c>
      <c r="PI144" s="135" t="str">
        <f t="shared" si="122"/>
        <v/>
      </c>
      <c r="PJ144" s="395" t="str">
        <f t="shared" si="104"/>
        <v/>
      </c>
      <c r="PK144" s="396" t="str">
        <f t="shared" si="105"/>
        <v/>
      </c>
      <c r="PL144" s="137" t="str">
        <f t="shared" si="123"/>
        <v/>
      </c>
      <c r="PM144" s="9" t="str">
        <f t="shared" si="124"/>
        <v/>
      </c>
      <c r="PN144" s="397" t="str">
        <f t="shared" si="125"/>
        <v/>
      </c>
      <c r="PO144" s="86" t="str">
        <f>IF(PI144="","",MAX(PI$15:PI144))</f>
        <v/>
      </c>
      <c r="PP144" s="398" t="str">
        <f t="shared" si="106"/>
        <v/>
      </c>
      <c r="PR144" s="399" t="s">
        <v>1</v>
      </c>
    </row>
    <row r="145" spans="1:434" s="184" customFormat="1" ht="16" customHeight="1" x14ac:dyDescent="0.45">
      <c r="A145" s="193"/>
      <c r="AA145" s="4" t="str">
        <f t="shared" si="78"/>
        <v/>
      </c>
      <c r="AB145" s="213" t="str">
        <f t="shared" si="95"/>
        <v/>
      </c>
      <c r="AC145" s="400"/>
      <c r="CY145" s="4" t="str">
        <f t="shared" ref="CY145" si="131">IF($A145="","",(CZ145-CZ144)/CZ144)</f>
        <v/>
      </c>
      <c r="CZ145" s="213" t="str">
        <f t="shared" si="115"/>
        <v/>
      </c>
      <c r="DA145" s="400"/>
      <c r="DW145" s="1" t="str">
        <f t="shared" si="116"/>
        <v/>
      </c>
      <c r="DX145" s="400"/>
      <c r="DY145" s="1"/>
      <c r="DZ145" s="1"/>
      <c r="EA145" s="1"/>
      <c r="EB145" s="1"/>
      <c r="EC145" s="1"/>
      <c r="ED145" s="1"/>
      <c r="EE145" s="1"/>
      <c r="EF145" s="1"/>
      <c r="EG145" s="1"/>
      <c r="EH145" s="1"/>
      <c r="EI145" s="1"/>
      <c r="EJ145" s="1" t="str">
        <f t="shared" si="112"/>
        <v/>
      </c>
      <c r="EK145" s="419"/>
      <c r="EN145" s="1"/>
      <c r="EO145" s="400"/>
      <c r="EP145" s="1" t="str">
        <f t="shared" si="113"/>
        <v/>
      </c>
      <c r="EQ145" s="468" t="s">
        <v>1</v>
      </c>
      <c r="ER145"/>
      <c r="FR145" s="1"/>
      <c r="HC145" s="4" t="str">
        <f t="shared" si="79"/>
        <v/>
      </c>
      <c r="HD145" s="213" t="str">
        <f t="shared" si="117"/>
        <v/>
      </c>
      <c r="HE145" s="400"/>
      <c r="KZ145" s="4" t="str">
        <f t="shared" si="80"/>
        <v/>
      </c>
      <c r="LA145" s="8" t="str">
        <f t="shared" si="126"/>
        <v/>
      </c>
      <c r="LB145" s="400"/>
      <c r="OF145" s="213" t="str">
        <f t="shared" si="107"/>
        <v/>
      </c>
      <c r="PR145" s="399" t="s">
        <v>1</v>
      </c>
    </row>
    <row r="146" spans="1:434" s="184" customFormat="1" ht="16" customHeight="1" x14ac:dyDescent="0.45">
      <c r="A146" s="193"/>
      <c r="AA146" s="4" t="str">
        <f t="shared" ref="AA146:AA148" si="132">IF($A146="","",(AB146-AB145)/AB145)</f>
        <v/>
      </c>
      <c r="AB146" s="213" t="str">
        <f t="shared" si="95"/>
        <v/>
      </c>
      <c r="AC146" s="400"/>
      <c r="CZ146" s="213" t="str">
        <f t="shared" si="115"/>
        <v/>
      </c>
      <c r="DA146" s="400"/>
      <c r="DW146" s="1" t="str">
        <f t="shared" si="116"/>
        <v/>
      </c>
      <c r="DX146" s="400"/>
      <c r="DY146" s="1"/>
      <c r="DZ146" s="1"/>
      <c r="EA146" s="1"/>
      <c r="EB146" s="1"/>
      <c r="EC146" s="1"/>
      <c r="ED146" s="1"/>
      <c r="EE146" s="1"/>
      <c r="EF146" s="1"/>
      <c r="EG146" s="1"/>
      <c r="EH146" s="1"/>
      <c r="EI146" s="1"/>
      <c r="EJ146" s="1" t="str">
        <f t="shared" si="112"/>
        <v/>
      </c>
      <c r="EK146" s="419"/>
      <c r="EN146" s="1"/>
      <c r="EO146" s="400"/>
      <c r="EP146" s="1" t="str">
        <f t="shared" si="113"/>
        <v/>
      </c>
      <c r="EQ146" s="468" t="s">
        <v>1</v>
      </c>
      <c r="ER146"/>
      <c r="FR146" s="1"/>
      <c r="HD146" s="213" t="str">
        <f t="shared" si="117"/>
        <v/>
      </c>
      <c r="HE146" s="400"/>
      <c r="LA146" s="8" t="str">
        <f t="shared" si="126"/>
        <v/>
      </c>
      <c r="LB146" s="400"/>
      <c r="PR146" s="399" t="s">
        <v>1</v>
      </c>
    </row>
    <row r="147" spans="1:434" s="184" customFormat="1" ht="16" customHeight="1" x14ac:dyDescent="0.45">
      <c r="A147" s="193"/>
      <c r="AA147" s="4" t="str">
        <f t="shared" si="132"/>
        <v/>
      </c>
      <c r="AB147" s="213" t="str">
        <f t="shared" si="95"/>
        <v/>
      </c>
      <c r="AC147" s="400"/>
      <c r="CZ147" s="213" t="str">
        <f t="shared" si="115"/>
        <v/>
      </c>
      <c r="DA147" s="400"/>
      <c r="DW147" s="1" t="str">
        <f t="shared" si="116"/>
        <v/>
      </c>
      <c r="DX147" s="400"/>
      <c r="DY147" s="1"/>
      <c r="DZ147" s="1"/>
      <c r="EA147" s="1"/>
      <c r="EB147" s="1"/>
      <c r="EC147" s="1"/>
      <c r="ED147" s="1"/>
      <c r="EE147" s="1"/>
      <c r="EF147" s="1"/>
      <c r="EG147" s="1"/>
      <c r="EH147" s="1"/>
      <c r="EI147" s="1"/>
      <c r="EJ147" s="1" t="str">
        <f t="shared" si="112"/>
        <v/>
      </c>
      <c r="EK147" s="419"/>
      <c r="EN147" s="1"/>
      <c r="EO147" s="400"/>
      <c r="EP147" s="1" t="str">
        <f t="shared" si="113"/>
        <v/>
      </c>
      <c r="EQ147" s="468" t="s">
        <v>1</v>
      </c>
      <c r="ER147"/>
      <c r="FR147" s="1"/>
      <c r="HD147" s="213" t="str">
        <f t="shared" si="117"/>
        <v/>
      </c>
      <c r="HE147" s="400"/>
      <c r="LA147" s="8" t="str">
        <f t="shared" si="126"/>
        <v/>
      </c>
      <c r="LB147" s="400"/>
      <c r="PR147" s="399" t="s">
        <v>1</v>
      </c>
    </row>
    <row r="148" spans="1:434" s="184" customFormat="1" ht="16" customHeight="1" x14ac:dyDescent="0.45">
      <c r="A148" s="193"/>
      <c r="AA148" s="4" t="str">
        <f t="shared" si="132"/>
        <v/>
      </c>
      <c r="AB148" s="213" t="str">
        <f t="shared" si="95"/>
        <v/>
      </c>
      <c r="AC148" s="400"/>
      <c r="CZ148" s="213" t="str">
        <f t="shared" si="115"/>
        <v/>
      </c>
      <c r="DA148" s="400"/>
      <c r="DW148" s="1" t="str">
        <f t="shared" si="116"/>
        <v/>
      </c>
      <c r="DX148" s="400"/>
      <c r="DY148" s="1"/>
      <c r="DZ148" s="1"/>
      <c r="EA148" s="1"/>
      <c r="EB148" s="1"/>
      <c r="EC148" s="1"/>
      <c r="ED148" s="1"/>
      <c r="EE148" s="1"/>
      <c r="EF148" s="1"/>
      <c r="EG148" s="1"/>
      <c r="EH148" s="1"/>
      <c r="EI148" s="1"/>
      <c r="EJ148" s="1" t="str">
        <f t="shared" si="112"/>
        <v/>
      </c>
      <c r="EK148" s="419"/>
      <c r="EN148" s="1"/>
      <c r="EO148" s="400"/>
      <c r="EP148" s="1" t="str">
        <f t="shared" si="113"/>
        <v/>
      </c>
      <c r="EQ148" s="468" t="s">
        <v>1</v>
      </c>
      <c r="ER148"/>
      <c r="FR148" s="1"/>
      <c r="HD148" s="213" t="str">
        <f t="shared" si="117"/>
        <v/>
      </c>
      <c r="HE148" s="400"/>
      <c r="LA148" s="8" t="str">
        <f t="shared" si="126"/>
        <v/>
      </c>
      <c r="LB148" s="400"/>
      <c r="PR148" s="399" t="s">
        <v>1</v>
      </c>
    </row>
    <row r="149" spans="1:434" s="184" customFormat="1" ht="16" customHeight="1" x14ac:dyDescent="0.45">
      <c r="A149" s="193"/>
      <c r="AB149" s="213" t="str">
        <f t="shared" si="95"/>
        <v/>
      </c>
      <c r="AC149" s="400"/>
      <c r="CZ149" s="213" t="str">
        <f t="shared" si="115"/>
        <v/>
      </c>
      <c r="DA149" s="400"/>
      <c r="DW149" s="1" t="str">
        <f t="shared" si="116"/>
        <v/>
      </c>
      <c r="DX149" s="400"/>
      <c r="DY149" s="1"/>
      <c r="DZ149" s="1"/>
      <c r="EA149" s="1"/>
      <c r="EB149" s="1"/>
      <c r="EC149" s="1"/>
      <c r="ED149" s="1"/>
      <c r="EE149" s="1"/>
      <c r="EF149" s="1"/>
      <c r="EG149" s="1"/>
      <c r="EH149" s="1"/>
      <c r="EI149" s="1"/>
      <c r="EJ149" s="1" t="str">
        <f t="shared" si="112"/>
        <v/>
      </c>
      <c r="EK149" s="419"/>
      <c r="EN149" s="1"/>
      <c r="EO149" s="400"/>
      <c r="EP149" s="1" t="str">
        <f t="shared" si="113"/>
        <v/>
      </c>
      <c r="EQ149" s="468" t="s">
        <v>1</v>
      </c>
      <c r="ER149"/>
      <c r="FR149" s="1"/>
      <c r="HD149" s="213" t="str">
        <f t="shared" si="117"/>
        <v/>
      </c>
      <c r="HE149" s="400"/>
      <c r="LA149" s="8" t="str">
        <f t="shared" si="126"/>
        <v/>
      </c>
      <c r="LB149" s="400"/>
      <c r="PR149" s="399" t="s">
        <v>1</v>
      </c>
    </row>
    <row r="150" spans="1:434" s="184" customFormat="1" ht="16" customHeight="1" x14ac:dyDescent="0.45">
      <c r="A150" s="193"/>
      <c r="AB150" s="213" t="str">
        <f t="shared" si="95"/>
        <v/>
      </c>
      <c r="AC150" s="400"/>
      <c r="CZ150" s="213" t="str">
        <f t="shared" si="115"/>
        <v/>
      </c>
      <c r="DA150" s="400"/>
      <c r="DW150" s="1" t="str">
        <f t="shared" si="116"/>
        <v/>
      </c>
      <c r="DX150" s="400"/>
      <c r="DY150" s="1"/>
      <c r="DZ150" s="1"/>
      <c r="EA150" s="1"/>
      <c r="EB150" s="1"/>
      <c r="EC150" s="1"/>
      <c r="ED150" s="1"/>
      <c r="EE150" s="1"/>
      <c r="EF150" s="1"/>
      <c r="EG150" s="1"/>
      <c r="EH150" s="1"/>
      <c r="EI150" s="1"/>
      <c r="EJ150" s="1" t="str">
        <f t="shared" si="112"/>
        <v/>
      </c>
      <c r="EK150" s="419"/>
      <c r="EN150" s="1"/>
      <c r="EO150" s="400"/>
      <c r="EP150" s="1" t="str">
        <f t="shared" si="113"/>
        <v/>
      </c>
      <c r="EQ150" s="468" t="s">
        <v>1</v>
      </c>
      <c r="ER150"/>
      <c r="FR150" s="1"/>
      <c r="HD150" s="213" t="str">
        <f t="shared" si="117"/>
        <v/>
      </c>
      <c r="HE150" s="400"/>
      <c r="LA150" s="8" t="str">
        <f t="shared" si="126"/>
        <v/>
      </c>
      <c r="LB150" s="400"/>
      <c r="PR150" s="399" t="s">
        <v>1</v>
      </c>
    </row>
    <row r="151" spans="1:434" s="184" customFormat="1" ht="16" customHeight="1" x14ac:dyDescent="0.45">
      <c r="A151" s="193"/>
      <c r="AB151" s="213" t="str">
        <f t="shared" si="95"/>
        <v/>
      </c>
      <c r="AC151" s="400"/>
      <c r="CZ151" s="213" t="str">
        <f t="shared" si="115"/>
        <v/>
      </c>
      <c r="DA151" s="400"/>
      <c r="DW151" s="1" t="str">
        <f t="shared" si="116"/>
        <v/>
      </c>
      <c r="DX151" s="400"/>
      <c r="DY151" s="1"/>
      <c r="DZ151" s="1"/>
      <c r="EA151" s="1"/>
      <c r="EB151" s="1"/>
      <c r="EC151" s="1"/>
      <c r="ED151" s="1"/>
      <c r="EE151" s="1"/>
      <c r="EF151" s="1"/>
      <c r="EG151" s="1"/>
      <c r="EH151" s="1"/>
      <c r="EI151" s="1"/>
      <c r="EJ151" s="1" t="str">
        <f t="shared" si="112"/>
        <v/>
      </c>
      <c r="EK151" s="419"/>
      <c r="EN151" s="1"/>
      <c r="EO151" s="400"/>
      <c r="EP151" s="1" t="str">
        <f t="shared" si="113"/>
        <v/>
      </c>
      <c r="EQ151" s="468" t="s">
        <v>1</v>
      </c>
      <c r="ER151"/>
      <c r="FR151" s="1"/>
      <c r="HD151" s="213" t="str">
        <f t="shared" si="117"/>
        <v/>
      </c>
      <c r="HE151" s="400"/>
      <c r="LA151" s="8" t="str">
        <f t="shared" si="126"/>
        <v/>
      </c>
      <c r="LB151" s="400"/>
      <c r="PR151" s="399" t="s">
        <v>1</v>
      </c>
    </row>
    <row r="152" spans="1:434" ht="16" customHeight="1" x14ac:dyDescent="0.45">
      <c r="AE152" s="184"/>
      <c r="AF152" s="184"/>
      <c r="AG152" s="184"/>
      <c r="AH152" s="184"/>
      <c r="AI152" s="184"/>
      <c r="AJ152" s="184"/>
      <c r="AK152" s="184"/>
      <c r="AL152" s="184"/>
      <c r="AM152" s="184"/>
      <c r="AN152" s="184"/>
      <c r="AO152" s="184"/>
      <c r="AP152" s="184"/>
      <c r="AQ152" s="184"/>
      <c r="AR152" s="184"/>
      <c r="AS152" s="184"/>
      <c r="AT152" s="184"/>
      <c r="AU152" s="184"/>
      <c r="AV152" s="184"/>
      <c r="AW152" s="184"/>
      <c r="AX152" s="184"/>
      <c r="AY152" s="184"/>
      <c r="AZ152" s="184"/>
      <c r="BA152" s="184"/>
      <c r="BB152" s="184"/>
      <c r="BC152" s="184"/>
      <c r="BD152" s="184"/>
      <c r="BE152" s="184"/>
      <c r="BF152" s="184"/>
      <c r="BG152" s="184"/>
      <c r="BH152" s="184"/>
      <c r="BI152" s="184"/>
      <c r="BJ152" s="184"/>
      <c r="BK152" s="184"/>
      <c r="BL152" s="184"/>
      <c r="BM152" s="184"/>
      <c r="BN152" s="184"/>
      <c r="BO152" s="184"/>
      <c r="BP152" s="184"/>
      <c r="BQ152" s="184"/>
      <c r="BR152" s="184"/>
      <c r="BS152" s="184"/>
      <c r="BT152" s="184"/>
      <c r="BU152" s="184"/>
      <c r="BV152" s="184"/>
      <c r="BW152" s="184"/>
      <c r="BX152" s="184"/>
      <c r="BY152" s="184"/>
      <c r="BZ152" s="184"/>
      <c r="CA152" s="184"/>
      <c r="CB152" s="184"/>
      <c r="CC152" s="184"/>
      <c r="CD152" s="184"/>
      <c r="CE152" s="184"/>
      <c r="CF152" s="184"/>
      <c r="CG152" s="184"/>
      <c r="CH152" s="184"/>
      <c r="CI152" s="184"/>
      <c r="CJ152" s="184"/>
      <c r="CK152" s="184"/>
      <c r="CL152" s="184"/>
      <c r="CM152" s="184"/>
      <c r="CN152" s="184"/>
      <c r="CO152" s="184"/>
      <c r="CP152" s="184"/>
      <c r="CQ152" s="184"/>
      <c r="CR152" s="184"/>
      <c r="CS152" s="184"/>
      <c r="CT152" s="184"/>
      <c r="CU152" s="184"/>
      <c r="CV152" s="184"/>
      <c r="CW152" s="184"/>
      <c r="CZ152" s="213" t="str">
        <f t="shared" si="115"/>
        <v/>
      </c>
      <c r="DA152" s="215"/>
      <c r="DW152" s="1" t="str">
        <f t="shared" si="116"/>
        <v/>
      </c>
      <c r="DX152" s="215"/>
      <c r="EK152" s="420"/>
      <c r="EO152" s="215"/>
      <c r="EQ152" s="468" t="s">
        <v>1</v>
      </c>
      <c r="HD152" s="213" t="str">
        <f t="shared" si="117"/>
        <v/>
      </c>
      <c r="HE152" s="215"/>
      <c r="PR152" s="311" t="s">
        <v>1</v>
      </c>
    </row>
    <row r="153" spans="1:434" ht="16" customHeight="1" x14ac:dyDescent="0.45">
      <c r="EQ153" s="468" t="s">
        <v>1</v>
      </c>
    </row>
    <row r="154" spans="1:434" ht="16" customHeight="1" x14ac:dyDescent="0.45">
      <c r="EQ154" s="468" t="s">
        <v>1</v>
      </c>
    </row>
    <row r="155" spans="1:434" ht="16" customHeight="1" x14ac:dyDescent="0.45">
      <c r="EQ155" s="468" t="s">
        <v>1</v>
      </c>
    </row>
    <row r="156" spans="1:434" ht="16" customHeight="1" x14ac:dyDescent="0.45">
      <c r="EQ156" s="468" t="s">
        <v>1</v>
      </c>
    </row>
    <row r="157" spans="1:434" ht="16" customHeight="1" x14ac:dyDescent="0.45">
      <c r="EQ157" s="468" t="s">
        <v>1</v>
      </c>
    </row>
    <row r="158" spans="1:434" ht="16" customHeight="1" x14ac:dyDescent="0.45">
      <c r="EQ158" s="468" t="s">
        <v>1</v>
      </c>
    </row>
    <row r="159" spans="1:434" ht="16" customHeight="1" x14ac:dyDescent="0.45">
      <c r="EQ159" s="468" t="s">
        <v>1</v>
      </c>
    </row>
    <row r="160" spans="1:434" ht="16" customHeight="1" x14ac:dyDescent="0.45">
      <c r="EQ160" s="468" t="s">
        <v>1</v>
      </c>
    </row>
    <row r="161" spans="147:147" ht="16" customHeight="1" x14ac:dyDescent="0.45">
      <c r="EQ161" s="468" t="s">
        <v>1</v>
      </c>
    </row>
    <row r="162" spans="147:147" ht="16" customHeight="1" x14ac:dyDescent="0.45">
      <c r="EQ162" s="468" t="s">
        <v>1</v>
      </c>
    </row>
    <row r="163" spans="147:147" ht="16" customHeight="1" x14ac:dyDescent="0.45">
      <c r="EQ163" s="468" t="s">
        <v>1</v>
      </c>
    </row>
    <row r="164" spans="147:147" ht="16" customHeight="1" x14ac:dyDescent="0.45">
      <c r="EQ164" s="468" t="s">
        <v>1</v>
      </c>
    </row>
    <row r="165" spans="147:147" ht="16" customHeight="1" x14ac:dyDescent="0.45">
      <c r="EQ165" s="468" t="s">
        <v>1</v>
      </c>
    </row>
    <row r="166" spans="147:147" ht="16" customHeight="1" x14ac:dyDescent="0.45">
      <c r="EQ166" s="468" t="s">
        <v>1</v>
      </c>
    </row>
    <row r="167" spans="147:147" ht="16" customHeight="1" x14ac:dyDescent="0.45">
      <c r="EQ167" s="468" t="s">
        <v>1</v>
      </c>
    </row>
    <row r="168" spans="147:147" ht="16" customHeight="1" x14ac:dyDescent="0.45">
      <c r="EQ168" s="468" t="s">
        <v>1</v>
      </c>
    </row>
    <row r="169" spans="147:147" ht="16" customHeight="1" x14ac:dyDescent="0.45">
      <c r="EQ169" s="468" t="s">
        <v>1</v>
      </c>
    </row>
    <row r="170" spans="147:147" ht="16" customHeight="1" x14ac:dyDescent="0.45">
      <c r="EQ170" s="468" t="s">
        <v>1</v>
      </c>
    </row>
    <row r="171" spans="147:147" ht="16" customHeight="1" x14ac:dyDescent="0.45">
      <c r="EQ171" s="468" t="s">
        <v>1</v>
      </c>
    </row>
    <row r="172" spans="147:147" ht="16" customHeight="1" x14ac:dyDescent="0.45">
      <c r="EQ172" s="468" t="s">
        <v>1</v>
      </c>
    </row>
    <row r="173" spans="147:147" ht="16" customHeight="1" x14ac:dyDescent="0.45">
      <c r="EQ173" s="468" t="s">
        <v>1</v>
      </c>
    </row>
    <row r="174" spans="147:147" ht="16" customHeight="1" x14ac:dyDescent="0.45">
      <c r="EQ174" s="468" t="s">
        <v>1</v>
      </c>
    </row>
    <row r="175" spans="147:147" ht="16" customHeight="1" x14ac:dyDescent="0.45">
      <c r="EQ175" s="468" t="s">
        <v>1</v>
      </c>
    </row>
    <row r="176" spans="147:147" ht="16" customHeight="1" x14ac:dyDescent="0.45">
      <c r="EQ176" s="468" t="s">
        <v>1</v>
      </c>
    </row>
    <row r="177" spans="147:147" ht="16" customHeight="1" x14ac:dyDescent="0.45">
      <c r="EQ177" s="468" t="s">
        <v>1</v>
      </c>
    </row>
    <row r="178" spans="147:147" ht="16" customHeight="1" x14ac:dyDescent="0.45">
      <c r="EQ178" s="468" t="s">
        <v>1</v>
      </c>
    </row>
    <row r="179" spans="147:147" ht="16" customHeight="1" x14ac:dyDescent="0.45">
      <c r="EQ179" s="468" t="s">
        <v>1</v>
      </c>
    </row>
    <row r="180" spans="147:147" ht="16" customHeight="1" x14ac:dyDescent="0.45">
      <c r="EQ180" s="468" t="s">
        <v>1</v>
      </c>
    </row>
    <row r="181" spans="147:147" ht="16" customHeight="1" x14ac:dyDescent="0.45">
      <c r="EQ181" s="468" t="s">
        <v>1</v>
      </c>
    </row>
    <row r="182" spans="147:147" x14ac:dyDescent="0.45">
      <c r="EQ182" s="468" t="s">
        <v>1</v>
      </c>
    </row>
    <row r="183" spans="147:147" x14ac:dyDescent="0.45">
      <c r="EQ183" s="468" t="s">
        <v>1</v>
      </c>
    </row>
    <row r="184" spans="147:147" x14ac:dyDescent="0.45">
      <c r="EQ184" s="468" t="s">
        <v>1</v>
      </c>
    </row>
    <row r="185" spans="147:147" x14ac:dyDescent="0.45">
      <c r="EQ185" s="468" t="s">
        <v>1</v>
      </c>
    </row>
    <row r="186" spans="147:147" x14ac:dyDescent="0.45">
      <c r="EQ186" s="468" t="s">
        <v>1</v>
      </c>
    </row>
    <row r="187" spans="147:147" x14ac:dyDescent="0.45">
      <c r="EQ187" s="468" t="s">
        <v>1</v>
      </c>
    </row>
    <row r="188" spans="147:147" x14ac:dyDescent="0.45">
      <c r="EQ188" s="468" t="s">
        <v>1</v>
      </c>
    </row>
    <row r="189" spans="147:147" x14ac:dyDescent="0.45">
      <c r="EQ189" s="468" t="s">
        <v>1</v>
      </c>
    </row>
    <row r="190" spans="147:147" x14ac:dyDescent="0.45">
      <c r="EQ190" s="468" t="s">
        <v>1</v>
      </c>
    </row>
    <row r="191" spans="147:147" x14ac:dyDescent="0.45">
      <c r="EQ191" s="468" t="s">
        <v>1</v>
      </c>
    </row>
    <row r="192" spans="147:147" x14ac:dyDescent="0.45">
      <c r="EQ192" s="468" t="s">
        <v>1</v>
      </c>
    </row>
    <row r="193" spans="147:147" x14ac:dyDescent="0.45">
      <c r="EQ193" s="468" t="s">
        <v>1</v>
      </c>
    </row>
    <row r="194" spans="147:147" x14ac:dyDescent="0.45">
      <c r="EQ194" s="468" t="s">
        <v>1</v>
      </c>
    </row>
    <row r="195" spans="147:147" x14ac:dyDescent="0.45">
      <c r="EQ195" s="468" t="s">
        <v>1</v>
      </c>
    </row>
    <row r="196" spans="147:147" x14ac:dyDescent="0.45">
      <c r="EQ196" s="468" t="s">
        <v>1</v>
      </c>
    </row>
    <row r="197" spans="147:147" x14ac:dyDescent="0.45">
      <c r="EQ197" s="468" t="s">
        <v>1</v>
      </c>
    </row>
    <row r="198" spans="147:147" x14ac:dyDescent="0.45">
      <c r="EQ198" s="468" t="s">
        <v>1</v>
      </c>
    </row>
    <row r="199" spans="147:147" x14ac:dyDescent="0.45">
      <c r="EQ199" s="468" t="s">
        <v>1</v>
      </c>
    </row>
    <row r="200" spans="147:147" x14ac:dyDescent="0.45">
      <c r="EQ200" s="468" t="s">
        <v>1</v>
      </c>
    </row>
    <row r="201" spans="147:147" x14ac:dyDescent="0.45">
      <c r="EQ201" s="468" t="s">
        <v>1</v>
      </c>
    </row>
    <row r="202" spans="147:147" x14ac:dyDescent="0.45">
      <c r="EQ202" s="468" t="s">
        <v>1</v>
      </c>
    </row>
    <row r="203" spans="147:147" x14ac:dyDescent="0.45">
      <c r="EQ203" s="468" t="s">
        <v>1</v>
      </c>
    </row>
    <row r="204" spans="147:147" x14ac:dyDescent="0.45">
      <c r="EQ204" s="468" t="s">
        <v>1</v>
      </c>
    </row>
    <row r="205" spans="147:147" x14ac:dyDescent="0.45">
      <c r="EQ205" s="468" t="s">
        <v>1</v>
      </c>
    </row>
    <row r="206" spans="147:147" x14ac:dyDescent="0.45">
      <c r="EQ206" s="468" t="s">
        <v>1</v>
      </c>
    </row>
    <row r="207" spans="147:147" x14ac:dyDescent="0.45">
      <c r="EQ207" s="468" t="s">
        <v>1</v>
      </c>
    </row>
    <row r="208" spans="147:147" x14ac:dyDescent="0.45">
      <c r="EQ208" s="468" t="s">
        <v>1</v>
      </c>
    </row>
    <row r="209" spans="147:147" x14ac:dyDescent="0.45">
      <c r="EQ209" s="468" t="s">
        <v>1</v>
      </c>
    </row>
    <row r="210" spans="147:147" x14ac:dyDescent="0.45">
      <c r="EQ210" s="468" t="s">
        <v>1</v>
      </c>
    </row>
    <row r="211" spans="147:147" x14ac:dyDescent="0.45">
      <c r="EQ211" s="468" t="s">
        <v>1</v>
      </c>
    </row>
    <row r="212" spans="147:147" x14ac:dyDescent="0.45">
      <c r="EQ212" s="468" t="s">
        <v>1</v>
      </c>
    </row>
    <row r="213" spans="147:147" x14ac:dyDescent="0.45">
      <c r="EQ213" s="468" t="s">
        <v>1</v>
      </c>
    </row>
    <row r="214" spans="147:147" x14ac:dyDescent="0.45">
      <c r="EQ214" s="468" t="s">
        <v>1</v>
      </c>
    </row>
    <row r="215" spans="147:147" x14ac:dyDescent="0.45">
      <c r="EQ215" s="468" t="s">
        <v>1</v>
      </c>
    </row>
    <row r="216" spans="147:147" x14ac:dyDescent="0.45">
      <c r="EQ216" s="468" t="s">
        <v>1</v>
      </c>
    </row>
    <row r="217" spans="147:147" x14ac:dyDescent="0.45">
      <c r="EQ217" s="468" t="s">
        <v>1</v>
      </c>
    </row>
    <row r="218" spans="147:147" x14ac:dyDescent="0.45">
      <c r="EQ218" s="468" t="s">
        <v>1</v>
      </c>
    </row>
    <row r="219" spans="147:147" x14ac:dyDescent="0.45">
      <c r="EQ219" s="468" t="s">
        <v>1</v>
      </c>
    </row>
    <row r="220" spans="147:147" x14ac:dyDescent="0.45">
      <c r="EQ220" s="468" t="s">
        <v>1</v>
      </c>
    </row>
    <row r="221" spans="147:147" x14ac:dyDescent="0.45">
      <c r="EQ221" s="468" t="s">
        <v>1</v>
      </c>
    </row>
    <row r="222" spans="147:147" x14ac:dyDescent="0.45">
      <c r="EQ222" s="468" t="s">
        <v>1</v>
      </c>
    </row>
    <row r="223" spans="147:147" x14ac:dyDescent="0.45">
      <c r="EQ223" s="468" t="s">
        <v>1</v>
      </c>
    </row>
    <row r="224" spans="147:147" x14ac:dyDescent="0.45">
      <c r="EQ224" s="468" t="s">
        <v>1</v>
      </c>
    </row>
    <row r="225" spans="147:147" x14ac:dyDescent="0.45">
      <c r="EQ225" s="468" t="s">
        <v>1</v>
      </c>
    </row>
    <row r="226" spans="147:147" x14ac:dyDescent="0.45">
      <c r="EQ226" s="468" t="s">
        <v>1</v>
      </c>
    </row>
    <row r="227" spans="147:147" x14ac:dyDescent="0.45">
      <c r="EQ227" s="468" t="s">
        <v>1</v>
      </c>
    </row>
    <row r="228" spans="147:147" x14ac:dyDescent="0.45">
      <c r="EQ228" s="468" t="s">
        <v>1</v>
      </c>
    </row>
    <row r="229" spans="147:147" x14ac:dyDescent="0.45">
      <c r="EQ229" s="468" t="s">
        <v>1</v>
      </c>
    </row>
    <row r="230" spans="147:147" x14ac:dyDescent="0.45">
      <c r="EQ230" s="468" t="s">
        <v>1</v>
      </c>
    </row>
    <row r="231" spans="147:147" x14ac:dyDescent="0.45">
      <c r="EQ231" s="468" t="s">
        <v>1</v>
      </c>
    </row>
    <row r="232" spans="147:147" x14ac:dyDescent="0.45">
      <c r="EQ232" s="468" t="s">
        <v>1</v>
      </c>
    </row>
    <row r="233" spans="147:147" x14ac:dyDescent="0.45">
      <c r="EQ233" s="468" t="s">
        <v>1</v>
      </c>
    </row>
    <row r="234" spans="147:147" x14ac:dyDescent="0.45">
      <c r="EQ234" s="468" t="s">
        <v>1</v>
      </c>
    </row>
    <row r="235" spans="147:147" x14ac:dyDescent="0.45">
      <c r="EQ235" s="468" t="s">
        <v>1</v>
      </c>
    </row>
    <row r="236" spans="147:147" x14ac:dyDescent="0.45">
      <c r="EQ236" s="468" t="s">
        <v>1</v>
      </c>
    </row>
    <row r="237" spans="147:147" x14ac:dyDescent="0.45">
      <c r="EQ237" s="468" t="s">
        <v>1</v>
      </c>
    </row>
    <row r="238" spans="147:147" x14ac:dyDescent="0.45">
      <c r="EQ238" s="468" t="s">
        <v>1</v>
      </c>
    </row>
    <row r="239" spans="147:147" x14ac:dyDescent="0.45">
      <c r="EQ239" s="468" t="s">
        <v>1</v>
      </c>
    </row>
    <row r="240" spans="147:147" x14ac:dyDescent="0.45">
      <c r="EQ240" s="468" t="s">
        <v>1</v>
      </c>
    </row>
    <row r="241" spans="147:147" x14ac:dyDescent="0.45">
      <c r="EQ241" s="468" t="s">
        <v>1</v>
      </c>
    </row>
    <row r="242" spans="147:147" x14ac:dyDescent="0.45">
      <c r="EQ242" s="468" t="s">
        <v>1</v>
      </c>
    </row>
    <row r="243" spans="147:147" x14ac:dyDescent="0.45">
      <c r="EQ243" s="468" t="s">
        <v>1</v>
      </c>
    </row>
    <row r="244" spans="147:147" x14ac:dyDescent="0.45">
      <c r="EQ244" s="468" t="s">
        <v>1</v>
      </c>
    </row>
    <row r="245" spans="147:147" x14ac:dyDescent="0.45">
      <c r="EQ245" s="468" t="s">
        <v>1</v>
      </c>
    </row>
    <row r="246" spans="147:147" x14ac:dyDescent="0.45">
      <c r="EQ246" s="468" t="s">
        <v>1</v>
      </c>
    </row>
    <row r="247" spans="147:147" x14ac:dyDescent="0.45">
      <c r="EQ247" s="468" t="s">
        <v>1</v>
      </c>
    </row>
    <row r="248" spans="147:147" x14ac:dyDescent="0.45">
      <c r="EQ248" s="468" t="s">
        <v>1</v>
      </c>
    </row>
    <row r="249" spans="147:147" x14ac:dyDescent="0.45">
      <c r="EQ249" s="468" t="s">
        <v>1</v>
      </c>
    </row>
    <row r="250" spans="147:147" x14ac:dyDescent="0.45">
      <c r="EQ250" s="468" t="s">
        <v>1</v>
      </c>
    </row>
    <row r="251" spans="147:147" x14ac:dyDescent="0.45">
      <c r="EQ251" s="468" t="s">
        <v>1</v>
      </c>
    </row>
    <row r="252" spans="147:147" x14ac:dyDescent="0.45">
      <c r="EQ252" s="468" t="s">
        <v>1</v>
      </c>
    </row>
    <row r="253" spans="147:147" x14ac:dyDescent="0.45">
      <c r="EQ253" s="468" t="s">
        <v>1</v>
      </c>
    </row>
    <row r="254" spans="147:147" x14ac:dyDescent="0.45">
      <c r="EQ254" s="468" t="s">
        <v>1</v>
      </c>
    </row>
    <row r="255" spans="147:147" x14ac:dyDescent="0.45">
      <c r="EQ255" s="468" t="s">
        <v>1</v>
      </c>
    </row>
    <row r="256" spans="147:147" x14ac:dyDescent="0.45">
      <c r="EQ256" s="468" t="s">
        <v>1</v>
      </c>
    </row>
    <row r="257" spans="147:147" x14ac:dyDescent="0.45">
      <c r="EQ257" s="468" t="s">
        <v>1</v>
      </c>
    </row>
    <row r="258" spans="147:147" x14ac:dyDescent="0.45">
      <c r="EQ258" s="468" t="s">
        <v>1</v>
      </c>
    </row>
    <row r="259" spans="147:147" x14ac:dyDescent="0.45">
      <c r="EQ259" s="468" t="s">
        <v>1</v>
      </c>
    </row>
    <row r="260" spans="147:147" x14ac:dyDescent="0.45">
      <c r="EQ260" s="468" t="s">
        <v>1</v>
      </c>
    </row>
    <row r="261" spans="147:147" x14ac:dyDescent="0.45">
      <c r="EQ261" s="468" t="s">
        <v>1</v>
      </c>
    </row>
    <row r="262" spans="147:147" x14ac:dyDescent="0.45">
      <c r="EQ262" s="468" t="s">
        <v>1</v>
      </c>
    </row>
    <row r="263" spans="147:147" x14ac:dyDescent="0.45">
      <c r="EQ263" s="468" t="s">
        <v>1</v>
      </c>
    </row>
    <row r="264" spans="147:147" x14ac:dyDescent="0.45">
      <c r="EQ264" s="468" t="s">
        <v>1</v>
      </c>
    </row>
    <row r="265" spans="147:147" x14ac:dyDescent="0.45">
      <c r="EQ265" s="468" t="s">
        <v>1</v>
      </c>
    </row>
    <row r="266" spans="147:147" x14ac:dyDescent="0.45">
      <c r="EQ266" s="468" t="s">
        <v>1</v>
      </c>
    </row>
    <row r="267" spans="147:147" x14ac:dyDescent="0.45">
      <c r="EQ267" s="468" t="s">
        <v>1</v>
      </c>
    </row>
    <row r="268" spans="147:147" x14ac:dyDescent="0.45">
      <c r="EQ268" s="468" t="s">
        <v>1</v>
      </c>
    </row>
    <row r="269" spans="147:147" x14ac:dyDescent="0.45">
      <c r="EQ269" s="468" t="s">
        <v>1</v>
      </c>
    </row>
    <row r="270" spans="147:147" x14ac:dyDescent="0.45">
      <c r="EQ270" s="468" t="s">
        <v>1</v>
      </c>
    </row>
    <row r="271" spans="147:147" x14ac:dyDescent="0.45">
      <c r="EQ271" s="468" t="s">
        <v>1</v>
      </c>
    </row>
    <row r="272" spans="147:147" x14ac:dyDescent="0.45">
      <c r="EQ272" s="468" t="s">
        <v>1</v>
      </c>
    </row>
    <row r="273" spans="147:147" x14ac:dyDescent="0.45">
      <c r="EQ273" s="468" t="s">
        <v>1</v>
      </c>
    </row>
    <row r="274" spans="147:147" x14ac:dyDescent="0.45">
      <c r="EQ274" s="468" t="s">
        <v>1</v>
      </c>
    </row>
    <row r="275" spans="147:147" x14ac:dyDescent="0.45">
      <c r="EQ275" s="468" t="s">
        <v>1</v>
      </c>
    </row>
    <row r="276" spans="147:147" x14ac:dyDescent="0.45">
      <c r="EQ276" s="468" t="s">
        <v>1</v>
      </c>
    </row>
    <row r="277" spans="147:147" x14ac:dyDescent="0.45">
      <c r="EQ277" s="468" t="s">
        <v>1</v>
      </c>
    </row>
    <row r="278" spans="147:147" x14ac:dyDescent="0.45">
      <c r="EQ278" s="468" t="s">
        <v>1</v>
      </c>
    </row>
    <row r="279" spans="147:147" x14ac:dyDescent="0.45">
      <c r="EQ279" s="468" t="s">
        <v>1</v>
      </c>
    </row>
    <row r="280" spans="147:147" x14ac:dyDescent="0.45">
      <c r="EQ280" s="468" t="s">
        <v>1</v>
      </c>
    </row>
    <row r="281" spans="147:147" x14ac:dyDescent="0.45">
      <c r="EQ281" s="468" t="s">
        <v>1</v>
      </c>
    </row>
    <row r="282" spans="147:147" x14ac:dyDescent="0.45">
      <c r="EQ282" s="468" t="s">
        <v>1</v>
      </c>
    </row>
    <row r="283" spans="147:147" x14ac:dyDescent="0.45">
      <c r="EQ283" s="468" t="s">
        <v>1</v>
      </c>
    </row>
    <row r="284" spans="147:147" x14ac:dyDescent="0.45">
      <c r="EQ284" s="468" t="s">
        <v>1</v>
      </c>
    </row>
    <row r="285" spans="147:147" x14ac:dyDescent="0.45">
      <c r="EQ285" s="468" t="s">
        <v>1</v>
      </c>
    </row>
    <row r="286" spans="147:147" x14ac:dyDescent="0.45">
      <c r="EQ286" s="468" t="s">
        <v>1</v>
      </c>
    </row>
    <row r="287" spans="147:147" x14ac:dyDescent="0.45">
      <c r="EQ287" s="468" t="s">
        <v>1</v>
      </c>
    </row>
    <row r="288" spans="147:147" x14ac:dyDescent="0.45">
      <c r="EQ288" s="468" t="s">
        <v>1</v>
      </c>
    </row>
    <row r="289" spans="147:147" x14ac:dyDescent="0.45">
      <c r="EQ289" s="468" t="s">
        <v>1</v>
      </c>
    </row>
    <row r="290" spans="147:147" x14ac:dyDescent="0.45">
      <c r="EQ290" s="468" t="s">
        <v>1</v>
      </c>
    </row>
    <row r="291" spans="147:147" x14ac:dyDescent="0.45">
      <c r="EQ291" s="468" t="s">
        <v>1</v>
      </c>
    </row>
    <row r="292" spans="147:147" x14ac:dyDescent="0.45">
      <c r="EQ292" s="468" t="s">
        <v>1</v>
      </c>
    </row>
    <row r="293" spans="147:147" x14ac:dyDescent="0.45">
      <c r="EQ293" s="468" t="s">
        <v>1</v>
      </c>
    </row>
    <row r="294" spans="147:147" x14ac:dyDescent="0.45">
      <c r="EQ294" s="468" t="s">
        <v>1</v>
      </c>
    </row>
    <row r="295" spans="147:147" x14ac:dyDescent="0.45">
      <c r="EQ295" s="468" t="s">
        <v>1</v>
      </c>
    </row>
    <row r="296" spans="147:147" x14ac:dyDescent="0.45">
      <c r="EQ296" s="468" t="s">
        <v>1</v>
      </c>
    </row>
    <row r="297" spans="147:147" x14ac:dyDescent="0.45">
      <c r="EQ297" s="468" t="s">
        <v>1</v>
      </c>
    </row>
    <row r="298" spans="147:147" x14ac:dyDescent="0.45">
      <c r="EQ298" s="468" t="s">
        <v>1</v>
      </c>
    </row>
    <row r="299" spans="147:147" x14ac:dyDescent="0.45">
      <c r="EQ299" s="468" t="s">
        <v>1</v>
      </c>
    </row>
    <row r="300" spans="147:147" x14ac:dyDescent="0.45">
      <c r="EQ300" s="468" t="s">
        <v>1</v>
      </c>
    </row>
    <row r="301" spans="147:147" x14ac:dyDescent="0.45">
      <c r="EQ301" s="468" t="s">
        <v>1</v>
      </c>
    </row>
    <row r="302" spans="147:147" x14ac:dyDescent="0.45">
      <c r="EQ302" s="468" t="s">
        <v>1</v>
      </c>
    </row>
    <row r="303" spans="147:147" x14ac:dyDescent="0.45">
      <c r="EQ303" s="468" t="s">
        <v>1</v>
      </c>
    </row>
    <row r="304" spans="147:147" x14ac:dyDescent="0.45">
      <c r="EQ304" s="468" t="s">
        <v>1</v>
      </c>
    </row>
    <row r="305" spans="147:147" x14ac:dyDescent="0.45">
      <c r="EQ305" s="468" t="s">
        <v>1</v>
      </c>
    </row>
    <row r="306" spans="147:147" x14ac:dyDescent="0.45">
      <c r="EQ306" s="468" t="s">
        <v>1</v>
      </c>
    </row>
    <row r="307" spans="147:147" x14ac:dyDescent="0.45">
      <c r="EQ307" s="468" t="s">
        <v>1</v>
      </c>
    </row>
    <row r="308" spans="147:147" x14ac:dyDescent="0.45">
      <c r="EQ308" s="468" t="s">
        <v>1</v>
      </c>
    </row>
    <row r="309" spans="147:147" x14ac:dyDescent="0.45">
      <c r="EQ309" s="468" t="s">
        <v>1</v>
      </c>
    </row>
    <row r="310" spans="147:147" x14ac:dyDescent="0.45">
      <c r="EQ310" s="468" t="s">
        <v>1</v>
      </c>
    </row>
    <row r="311" spans="147:147" x14ac:dyDescent="0.45">
      <c r="EQ311" s="468" t="s">
        <v>1</v>
      </c>
    </row>
    <row r="312" spans="147:147" x14ac:dyDescent="0.45">
      <c r="EQ312" s="468" t="s">
        <v>1</v>
      </c>
    </row>
    <row r="313" spans="147:147" x14ac:dyDescent="0.45">
      <c r="EQ313" s="468" t="s">
        <v>1</v>
      </c>
    </row>
    <row r="314" spans="147:147" x14ac:dyDescent="0.45">
      <c r="EQ314" s="468" t="s">
        <v>1</v>
      </c>
    </row>
    <row r="315" spans="147:147" x14ac:dyDescent="0.45">
      <c r="EQ315" s="468" t="s">
        <v>1</v>
      </c>
    </row>
    <row r="316" spans="147:147" x14ac:dyDescent="0.45">
      <c r="EQ316" s="468" t="s">
        <v>1</v>
      </c>
    </row>
    <row r="317" spans="147:147" x14ac:dyDescent="0.45">
      <c r="EQ317" s="468" t="s">
        <v>1</v>
      </c>
    </row>
    <row r="318" spans="147:147" x14ac:dyDescent="0.45">
      <c r="EQ318" s="468" t="s">
        <v>1</v>
      </c>
    </row>
    <row r="319" spans="147:147" x14ac:dyDescent="0.45">
      <c r="EQ319" s="468" t="s">
        <v>1</v>
      </c>
    </row>
    <row r="320" spans="147:147" x14ac:dyDescent="0.45">
      <c r="EQ320" s="468" t="s">
        <v>1</v>
      </c>
    </row>
    <row r="321" spans="147:147" x14ac:dyDescent="0.45">
      <c r="EQ321" s="468" t="s">
        <v>1</v>
      </c>
    </row>
    <row r="322" spans="147:147" x14ac:dyDescent="0.45">
      <c r="EQ322" s="468" t="s">
        <v>1</v>
      </c>
    </row>
    <row r="323" spans="147:147" x14ac:dyDescent="0.45">
      <c r="EQ323" s="468" t="s">
        <v>1</v>
      </c>
    </row>
    <row r="324" spans="147:147" x14ac:dyDescent="0.45">
      <c r="EQ324" s="468" t="s">
        <v>1</v>
      </c>
    </row>
    <row r="325" spans="147:147" x14ac:dyDescent="0.45">
      <c r="EQ325" s="468" t="s">
        <v>1</v>
      </c>
    </row>
    <row r="326" spans="147:147" x14ac:dyDescent="0.45">
      <c r="EQ326" s="468" t="s">
        <v>1</v>
      </c>
    </row>
    <row r="327" spans="147:147" x14ac:dyDescent="0.45">
      <c r="EQ327" s="468" t="s">
        <v>1</v>
      </c>
    </row>
    <row r="328" spans="147:147" x14ac:dyDescent="0.45">
      <c r="EQ328" s="468" t="s">
        <v>1</v>
      </c>
    </row>
    <row r="329" spans="147:147" x14ac:dyDescent="0.45">
      <c r="EQ329" s="468" t="s">
        <v>1</v>
      </c>
    </row>
    <row r="330" spans="147:147" x14ac:dyDescent="0.45">
      <c r="EQ330" s="468" t="s">
        <v>1</v>
      </c>
    </row>
    <row r="331" spans="147:147" x14ac:dyDescent="0.45">
      <c r="EQ331" s="468" t="s">
        <v>1</v>
      </c>
    </row>
    <row r="332" spans="147:147" x14ac:dyDescent="0.45">
      <c r="EQ332" s="468" t="s">
        <v>1</v>
      </c>
    </row>
    <row r="333" spans="147:147" x14ac:dyDescent="0.45">
      <c r="EQ333" s="468" t="s">
        <v>1</v>
      </c>
    </row>
    <row r="334" spans="147:147" x14ac:dyDescent="0.45">
      <c r="EQ334" s="468" t="s">
        <v>1</v>
      </c>
    </row>
    <row r="335" spans="147:147" x14ac:dyDescent="0.45">
      <c r="EQ335" s="468" t="s">
        <v>1</v>
      </c>
    </row>
    <row r="336" spans="147:147" x14ac:dyDescent="0.45">
      <c r="EQ336" s="468" t="s">
        <v>1</v>
      </c>
    </row>
    <row r="337" spans="147:147" x14ac:dyDescent="0.45">
      <c r="EQ337" s="468" t="s">
        <v>1</v>
      </c>
    </row>
    <row r="338" spans="147:147" x14ac:dyDescent="0.45">
      <c r="EQ338" s="468" t="s">
        <v>1</v>
      </c>
    </row>
    <row r="339" spans="147:147" x14ac:dyDescent="0.45">
      <c r="EQ339" s="468" t="s">
        <v>1</v>
      </c>
    </row>
    <row r="340" spans="147:147" x14ac:dyDescent="0.45">
      <c r="EQ340" s="468" t="s">
        <v>1</v>
      </c>
    </row>
    <row r="341" spans="147:147" x14ac:dyDescent="0.45">
      <c r="EQ341" s="468" t="s">
        <v>1</v>
      </c>
    </row>
    <row r="342" spans="147:147" x14ac:dyDescent="0.45">
      <c r="EQ342" s="468" t="s">
        <v>1</v>
      </c>
    </row>
    <row r="343" spans="147:147" x14ac:dyDescent="0.45">
      <c r="EQ343" s="468" t="s">
        <v>1</v>
      </c>
    </row>
    <row r="344" spans="147:147" x14ac:dyDescent="0.45">
      <c r="EQ344" s="468" t="s">
        <v>1</v>
      </c>
    </row>
    <row r="345" spans="147:147" x14ac:dyDescent="0.45">
      <c r="EQ345" s="468" t="s">
        <v>1</v>
      </c>
    </row>
    <row r="346" spans="147:147" x14ac:dyDescent="0.45">
      <c r="EQ346" s="468" t="s">
        <v>1</v>
      </c>
    </row>
    <row r="347" spans="147:147" x14ac:dyDescent="0.45">
      <c r="EQ347" s="468" t="s">
        <v>1</v>
      </c>
    </row>
    <row r="348" spans="147:147" x14ac:dyDescent="0.45">
      <c r="EQ348" s="468" t="s">
        <v>1</v>
      </c>
    </row>
    <row r="349" spans="147:147" x14ac:dyDescent="0.45">
      <c r="EQ349" s="468" t="s">
        <v>1</v>
      </c>
    </row>
    <row r="350" spans="147:147" x14ac:dyDescent="0.45">
      <c r="EQ350" s="468" t="s">
        <v>1</v>
      </c>
    </row>
    <row r="351" spans="147:147" x14ac:dyDescent="0.45">
      <c r="EQ351" s="468" t="s">
        <v>1</v>
      </c>
    </row>
    <row r="352" spans="147:147" x14ac:dyDescent="0.45">
      <c r="EQ352" s="468" t="s">
        <v>1</v>
      </c>
    </row>
    <row r="353" spans="147:147" x14ac:dyDescent="0.45">
      <c r="EQ353" s="468" t="s">
        <v>1</v>
      </c>
    </row>
    <row r="354" spans="147:147" x14ac:dyDescent="0.45">
      <c r="EQ354" s="468" t="s">
        <v>1</v>
      </c>
    </row>
    <row r="355" spans="147:147" x14ac:dyDescent="0.45">
      <c r="EQ355" s="468" t="s">
        <v>1</v>
      </c>
    </row>
    <row r="356" spans="147:147" x14ac:dyDescent="0.45">
      <c r="EQ356" s="468" t="s">
        <v>1</v>
      </c>
    </row>
    <row r="357" spans="147:147" x14ac:dyDescent="0.45">
      <c r="EQ357" s="468" t="s">
        <v>1</v>
      </c>
    </row>
    <row r="358" spans="147:147" x14ac:dyDescent="0.45">
      <c r="EQ358" s="468" t="s">
        <v>1</v>
      </c>
    </row>
    <row r="359" spans="147:147" x14ac:dyDescent="0.45">
      <c r="EQ359" s="468" t="s">
        <v>1</v>
      </c>
    </row>
    <row r="360" spans="147:147" x14ac:dyDescent="0.45">
      <c r="EQ360" s="468" t="s">
        <v>1</v>
      </c>
    </row>
    <row r="361" spans="147:147" x14ac:dyDescent="0.45">
      <c r="EQ361" s="468" t="s">
        <v>1</v>
      </c>
    </row>
    <row r="362" spans="147:147" x14ac:dyDescent="0.45">
      <c r="EQ362" s="468" t="s">
        <v>1</v>
      </c>
    </row>
    <row r="363" spans="147:147" x14ac:dyDescent="0.45">
      <c r="EQ363" s="468" t="s">
        <v>1</v>
      </c>
    </row>
    <row r="364" spans="147:147" x14ac:dyDescent="0.45">
      <c r="EQ364" s="468" t="s">
        <v>1</v>
      </c>
    </row>
    <row r="365" spans="147:147" x14ac:dyDescent="0.45">
      <c r="EQ365" s="468" t="s">
        <v>1</v>
      </c>
    </row>
    <row r="366" spans="147:147" x14ac:dyDescent="0.45">
      <c r="EQ366" s="468" t="s">
        <v>1</v>
      </c>
    </row>
    <row r="367" spans="147:147" x14ac:dyDescent="0.45">
      <c r="EQ367" s="468" t="s">
        <v>1</v>
      </c>
    </row>
    <row r="368" spans="147:147" x14ac:dyDescent="0.45">
      <c r="EQ368" s="468" t="s">
        <v>1</v>
      </c>
    </row>
    <row r="369" spans="147:147" x14ac:dyDescent="0.45">
      <c r="EQ369" s="468" t="s">
        <v>1</v>
      </c>
    </row>
    <row r="370" spans="147:147" x14ac:dyDescent="0.45">
      <c r="EQ370" s="468" t="s">
        <v>1</v>
      </c>
    </row>
    <row r="371" spans="147:147" x14ac:dyDescent="0.45">
      <c r="EQ371" s="468" t="s">
        <v>1</v>
      </c>
    </row>
    <row r="372" spans="147:147" x14ac:dyDescent="0.45">
      <c r="EQ372" s="468" t="s">
        <v>1</v>
      </c>
    </row>
    <row r="373" spans="147:147" x14ac:dyDescent="0.45">
      <c r="EQ373" s="468" t="s">
        <v>1</v>
      </c>
    </row>
    <row r="374" spans="147:147" x14ac:dyDescent="0.45">
      <c r="EQ374" s="468" t="s">
        <v>1</v>
      </c>
    </row>
    <row r="375" spans="147:147" x14ac:dyDescent="0.45">
      <c r="EQ375" s="468" t="s">
        <v>1</v>
      </c>
    </row>
    <row r="376" spans="147:147" x14ac:dyDescent="0.45">
      <c r="EQ376" s="468" t="s">
        <v>1</v>
      </c>
    </row>
    <row r="377" spans="147:147" x14ac:dyDescent="0.45">
      <c r="EQ377" s="468" t="s">
        <v>1</v>
      </c>
    </row>
    <row r="378" spans="147:147" x14ac:dyDescent="0.45">
      <c r="EQ378" s="468" t="s">
        <v>1</v>
      </c>
    </row>
    <row r="379" spans="147:147" x14ac:dyDescent="0.45">
      <c r="EQ379" s="468" t="s">
        <v>1</v>
      </c>
    </row>
    <row r="380" spans="147:147" x14ac:dyDescent="0.45">
      <c r="EQ380" s="468" t="s">
        <v>1</v>
      </c>
    </row>
    <row r="381" spans="147:147" x14ac:dyDescent="0.45">
      <c r="EQ381" s="468" t="s">
        <v>1</v>
      </c>
    </row>
    <row r="382" spans="147:147" x14ac:dyDescent="0.45">
      <c r="EQ382" s="468" t="s">
        <v>1</v>
      </c>
    </row>
    <row r="383" spans="147:147" x14ac:dyDescent="0.45">
      <c r="EQ383" s="468" t="s">
        <v>1</v>
      </c>
    </row>
    <row r="384" spans="147:147" x14ac:dyDescent="0.45">
      <c r="EQ384" s="468" t="s">
        <v>1</v>
      </c>
    </row>
    <row r="385" spans="147:147" x14ac:dyDescent="0.45">
      <c r="EQ385" s="468" t="s">
        <v>1</v>
      </c>
    </row>
    <row r="386" spans="147:147" x14ac:dyDescent="0.45">
      <c r="EQ386" s="468" t="s">
        <v>1</v>
      </c>
    </row>
    <row r="387" spans="147:147" x14ac:dyDescent="0.45">
      <c r="EQ387" s="468" t="s">
        <v>1</v>
      </c>
    </row>
    <row r="388" spans="147:147" x14ac:dyDescent="0.45">
      <c r="EQ388" s="468" t="s">
        <v>1</v>
      </c>
    </row>
    <row r="389" spans="147:147" x14ac:dyDescent="0.45">
      <c r="EQ389" s="468" t="s">
        <v>1</v>
      </c>
    </row>
    <row r="390" spans="147:147" x14ac:dyDescent="0.45">
      <c r="EQ390" s="468" t="s">
        <v>1</v>
      </c>
    </row>
    <row r="391" spans="147:147" x14ac:dyDescent="0.45">
      <c r="EQ391" s="468" t="s">
        <v>1</v>
      </c>
    </row>
    <row r="392" spans="147:147" x14ac:dyDescent="0.45">
      <c r="EQ392" s="468" t="s">
        <v>1</v>
      </c>
    </row>
    <row r="393" spans="147:147" x14ac:dyDescent="0.45">
      <c r="EQ393" s="468" t="s">
        <v>1</v>
      </c>
    </row>
    <row r="394" spans="147:147" x14ac:dyDescent="0.45">
      <c r="EQ394" s="468" t="s">
        <v>1</v>
      </c>
    </row>
    <row r="395" spans="147:147" x14ac:dyDescent="0.45">
      <c r="EQ395" s="468" t="s">
        <v>1</v>
      </c>
    </row>
    <row r="396" spans="147:147" x14ac:dyDescent="0.45">
      <c r="EQ396" s="468" t="s">
        <v>1</v>
      </c>
    </row>
    <row r="397" spans="147:147" x14ac:dyDescent="0.45">
      <c r="EQ397" s="468" t="s">
        <v>1</v>
      </c>
    </row>
    <row r="398" spans="147:147" x14ac:dyDescent="0.45">
      <c r="EQ398" s="468" t="s">
        <v>1</v>
      </c>
    </row>
    <row r="399" spans="147:147" x14ac:dyDescent="0.45">
      <c r="EQ399" s="468" t="s">
        <v>1</v>
      </c>
    </row>
    <row r="400" spans="147:147" x14ac:dyDescent="0.45">
      <c r="EQ400" s="468" t="s">
        <v>1</v>
      </c>
    </row>
    <row r="401" spans="147:147" x14ac:dyDescent="0.45">
      <c r="EQ401" s="468" t="s">
        <v>1</v>
      </c>
    </row>
    <row r="402" spans="147:147" x14ac:dyDescent="0.45">
      <c r="EQ402" s="468" t="s">
        <v>1</v>
      </c>
    </row>
    <row r="403" spans="147:147" x14ac:dyDescent="0.45">
      <c r="EQ403" s="468" t="s">
        <v>1</v>
      </c>
    </row>
    <row r="404" spans="147:147" x14ac:dyDescent="0.45">
      <c r="EQ404" s="468" t="s">
        <v>1</v>
      </c>
    </row>
    <row r="405" spans="147:147" x14ac:dyDescent="0.45">
      <c r="EQ405" s="468" t="s">
        <v>1</v>
      </c>
    </row>
    <row r="406" spans="147:147" x14ac:dyDescent="0.45">
      <c r="EQ406" s="468" t="s">
        <v>1</v>
      </c>
    </row>
    <row r="407" spans="147:147" x14ac:dyDescent="0.45">
      <c r="EQ407" s="468" t="s">
        <v>1</v>
      </c>
    </row>
    <row r="408" spans="147:147" x14ac:dyDescent="0.45">
      <c r="EQ408" s="468" t="s">
        <v>1</v>
      </c>
    </row>
    <row r="409" spans="147:147" x14ac:dyDescent="0.45">
      <c r="EQ409" s="468" t="s">
        <v>1</v>
      </c>
    </row>
    <row r="410" spans="147:147" x14ac:dyDescent="0.45">
      <c r="EQ410" s="468" t="s">
        <v>1</v>
      </c>
    </row>
    <row r="411" spans="147:147" x14ac:dyDescent="0.45">
      <c r="EQ411" s="468" t="s">
        <v>1</v>
      </c>
    </row>
    <row r="412" spans="147:147" x14ac:dyDescent="0.45">
      <c r="EQ412" s="468" t="s">
        <v>1</v>
      </c>
    </row>
    <row r="413" spans="147:147" x14ac:dyDescent="0.45">
      <c r="EQ413" s="468" t="s">
        <v>1</v>
      </c>
    </row>
    <row r="414" spans="147:147" x14ac:dyDescent="0.45">
      <c r="EQ414" s="468" t="s">
        <v>1</v>
      </c>
    </row>
    <row r="415" spans="147:147" x14ac:dyDescent="0.45">
      <c r="EQ415" s="468" t="s">
        <v>1</v>
      </c>
    </row>
    <row r="416" spans="147:147" x14ac:dyDescent="0.45">
      <c r="EQ416" s="468" t="s">
        <v>1</v>
      </c>
    </row>
    <row r="417" spans="147:147" x14ac:dyDescent="0.45">
      <c r="EQ417" s="468" t="s">
        <v>1</v>
      </c>
    </row>
    <row r="418" spans="147:147" x14ac:dyDescent="0.45">
      <c r="EQ418" s="468" t="s">
        <v>1</v>
      </c>
    </row>
    <row r="419" spans="147:147" x14ac:dyDescent="0.45">
      <c r="EQ419" s="468" t="s">
        <v>1</v>
      </c>
    </row>
    <row r="420" spans="147:147" x14ac:dyDescent="0.45">
      <c r="EQ420" s="468" t="s">
        <v>1</v>
      </c>
    </row>
    <row r="421" spans="147:147" x14ac:dyDescent="0.45">
      <c r="EQ421" s="468" t="s">
        <v>1</v>
      </c>
    </row>
    <row r="422" spans="147:147" x14ac:dyDescent="0.45">
      <c r="EQ422" s="468" t="s">
        <v>1</v>
      </c>
    </row>
    <row r="423" spans="147:147" x14ac:dyDescent="0.45">
      <c r="EQ423" s="468" t="s">
        <v>1</v>
      </c>
    </row>
    <row r="424" spans="147:147" x14ac:dyDescent="0.45">
      <c r="EQ424" s="468" t="s">
        <v>1</v>
      </c>
    </row>
    <row r="425" spans="147:147" x14ac:dyDescent="0.45">
      <c r="EQ425" s="468" t="s">
        <v>1</v>
      </c>
    </row>
    <row r="426" spans="147:147" x14ac:dyDescent="0.45">
      <c r="EQ426" s="468" t="s">
        <v>1</v>
      </c>
    </row>
    <row r="427" spans="147:147" x14ac:dyDescent="0.45">
      <c r="EQ427" s="468" t="s">
        <v>1</v>
      </c>
    </row>
    <row r="428" spans="147:147" x14ac:dyDescent="0.45">
      <c r="EQ428" s="468" t="s">
        <v>1</v>
      </c>
    </row>
    <row r="429" spans="147:147" x14ac:dyDescent="0.45">
      <c r="EQ429" s="468" t="s">
        <v>1</v>
      </c>
    </row>
    <row r="430" spans="147:147" x14ac:dyDescent="0.45">
      <c r="EQ430" s="468" t="s">
        <v>1</v>
      </c>
    </row>
    <row r="431" spans="147:147" x14ac:dyDescent="0.45">
      <c r="EQ431" s="468" t="s">
        <v>1</v>
      </c>
    </row>
    <row r="432" spans="147:147" x14ac:dyDescent="0.45">
      <c r="EQ432" s="468" t="s">
        <v>1</v>
      </c>
    </row>
    <row r="433" spans="147:147" x14ac:dyDescent="0.45">
      <c r="EQ433" s="468" t="s">
        <v>1</v>
      </c>
    </row>
    <row r="434" spans="147:147" x14ac:dyDescent="0.45">
      <c r="EQ434" s="468" t="s">
        <v>1</v>
      </c>
    </row>
    <row r="435" spans="147:147" x14ac:dyDescent="0.45">
      <c r="EQ435" s="468" t="s">
        <v>1</v>
      </c>
    </row>
    <row r="436" spans="147:147" x14ac:dyDescent="0.45">
      <c r="EQ436" s="468" t="s">
        <v>1</v>
      </c>
    </row>
    <row r="437" spans="147:147" x14ac:dyDescent="0.45">
      <c r="EQ437" s="468" t="s">
        <v>1</v>
      </c>
    </row>
    <row r="438" spans="147:147" x14ac:dyDescent="0.45">
      <c r="EQ438" s="468" t="s">
        <v>1</v>
      </c>
    </row>
    <row r="439" spans="147:147" x14ac:dyDescent="0.45">
      <c r="EQ439" s="468" t="s">
        <v>1</v>
      </c>
    </row>
    <row r="440" spans="147:147" x14ac:dyDescent="0.45">
      <c r="EQ440" s="468" t="s">
        <v>1</v>
      </c>
    </row>
    <row r="441" spans="147:147" x14ac:dyDescent="0.45">
      <c r="EQ441" s="468" t="s">
        <v>1</v>
      </c>
    </row>
    <row r="442" spans="147:147" x14ac:dyDescent="0.45">
      <c r="EQ442" s="468" t="s">
        <v>1</v>
      </c>
    </row>
    <row r="443" spans="147:147" x14ac:dyDescent="0.45">
      <c r="EQ443" s="468" t="s">
        <v>1</v>
      </c>
    </row>
    <row r="444" spans="147:147" x14ac:dyDescent="0.45">
      <c r="EQ444" s="468" t="s">
        <v>1</v>
      </c>
    </row>
    <row r="445" spans="147:147" x14ac:dyDescent="0.45">
      <c r="EQ445" s="468" t="s">
        <v>1</v>
      </c>
    </row>
    <row r="446" spans="147:147" x14ac:dyDescent="0.45">
      <c r="EQ446" s="468" t="s">
        <v>1</v>
      </c>
    </row>
    <row r="447" spans="147:147" x14ac:dyDescent="0.45">
      <c r="EQ447" s="468" t="s">
        <v>1</v>
      </c>
    </row>
    <row r="448" spans="147:147" x14ac:dyDescent="0.45">
      <c r="EQ448" s="468" t="s">
        <v>1</v>
      </c>
    </row>
    <row r="449" spans="147:147" x14ac:dyDescent="0.45">
      <c r="EQ449" s="468" t="s">
        <v>1</v>
      </c>
    </row>
    <row r="450" spans="147:147" x14ac:dyDescent="0.45">
      <c r="EQ450" s="468" t="s">
        <v>1</v>
      </c>
    </row>
    <row r="451" spans="147:147" x14ac:dyDescent="0.45">
      <c r="EQ451" s="468" t="s">
        <v>1</v>
      </c>
    </row>
    <row r="452" spans="147:147" x14ac:dyDescent="0.45">
      <c r="EQ452" s="468" t="s">
        <v>1</v>
      </c>
    </row>
    <row r="453" spans="147:147" x14ac:dyDescent="0.45">
      <c r="EQ453" s="468" t="s">
        <v>1</v>
      </c>
    </row>
    <row r="454" spans="147:147" x14ac:dyDescent="0.45">
      <c r="EQ454" s="468" t="s">
        <v>1</v>
      </c>
    </row>
    <row r="455" spans="147:147" x14ac:dyDescent="0.45">
      <c r="EQ455" s="468" t="s">
        <v>1</v>
      </c>
    </row>
    <row r="456" spans="147:147" x14ac:dyDescent="0.45">
      <c r="EQ456" s="468" t="s">
        <v>1</v>
      </c>
    </row>
    <row r="457" spans="147:147" x14ac:dyDescent="0.45">
      <c r="EQ457" s="468" t="s">
        <v>1</v>
      </c>
    </row>
    <row r="458" spans="147:147" x14ac:dyDescent="0.45">
      <c r="EQ458" s="468" t="s">
        <v>1</v>
      </c>
    </row>
    <row r="459" spans="147:147" x14ac:dyDescent="0.45">
      <c r="EQ459" s="468" t="s">
        <v>1</v>
      </c>
    </row>
    <row r="460" spans="147:147" x14ac:dyDescent="0.45">
      <c r="EQ460" s="468" t="s">
        <v>1</v>
      </c>
    </row>
    <row r="461" spans="147:147" x14ac:dyDescent="0.45">
      <c r="EQ461" s="468" t="s">
        <v>1</v>
      </c>
    </row>
    <row r="462" spans="147:147" x14ac:dyDescent="0.45">
      <c r="EQ462" s="468" t="s">
        <v>1</v>
      </c>
    </row>
    <row r="463" spans="147:147" x14ac:dyDescent="0.45">
      <c r="EQ463" s="468" t="s">
        <v>1</v>
      </c>
    </row>
    <row r="464" spans="147:147" x14ac:dyDescent="0.45">
      <c r="EQ464" s="468" t="s">
        <v>1</v>
      </c>
    </row>
    <row r="465" spans="147:147" x14ac:dyDescent="0.45">
      <c r="EQ465" s="468" t="s">
        <v>1</v>
      </c>
    </row>
    <row r="466" spans="147:147" x14ac:dyDescent="0.45">
      <c r="EQ466" s="468" t="s">
        <v>1</v>
      </c>
    </row>
    <row r="467" spans="147:147" x14ac:dyDescent="0.45">
      <c r="EQ467" s="468" t="s">
        <v>1</v>
      </c>
    </row>
    <row r="468" spans="147:147" x14ac:dyDescent="0.45">
      <c r="EQ468" s="468" t="s">
        <v>1</v>
      </c>
    </row>
    <row r="469" spans="147:147" x14ac:dyDescent="0.45">
      <c r="EQ469" s="468" t="s">
        <v>1</v>
      </c>
    </row>
    <row r="470" spans="147:147" x14ac:dyDescent="0.45">
      <c r="EQ470" s="468" t="s">
        <v>1</v>
      </c>
    </row>
    <row r="471" spans="147:147" x14ac:dyDescent="0.45">
      <c r="EQ471" s="468" t="s">
        <v>1</v>
      </c>
    </row>
    <row r="472" spans="147:147" x14ac:dyDescent="0.45">
      <c r="EQ472" s="468" t="s">
        <v>1</v>
      </c>
    </row>
    <row r="473" spans="147:147" x14ac:dyDescent="0.45">
      <c r="EQ473" s="468" t="s">
        <v>1</v>
      </c>
    </row>
    <row r="474" spans="147:147" x14ac:dyDescent="0.45">
      <c r="EQ474" s="468" t="s">
        <v>1</v>
      </c>
    </row>
    <row r="475" spans="147:147" x14ac:dyDescent="0.45">
      <c r="EQ475" s="468" t="s">
        <v>1</v>
      </c>
    </row>
    <row r="476" spans="147:147" x14ac:dyDescent="0.45">
      <c r="EQ476" s="468" t="s">
        <v>1</v>
      </c>
    </row>
    <row r="477" spans="147:147" x14ac:dyDescent="0.45">
      <c r="EQ477" s="468" t="s">
        <v>1</v>
      </c>
    </row>
    <row r="478" spans="147:147" x14ac:dyDescent="0.45">
      <c r="EQ478" s="468" t="s">
        <v>1</v>
      </c>
    </row>
    <row r="479" spans="147:147" x14ac:dyDescent="0.45">
      <c r="EQ479" s="468" t="s">
        <v>1</v>
      </c>
    </row>
    <row r="480" spans="147:147" x14ac:dyDescent="0.45">
      <c r="EQ480" s="468" t="s">
        <v>1</v>
      </c>
    </row>
    <row r="481" spans="147:147" x14ac:dyDescent="0.45">
      <c r="EQ481" s="468" t="s">
        <v>1</v>
      </c>
    </row>
    <row r="482" spans="147:147" x14ac:dyDescent="0.45">
      <c r="EQ482" s="468" t="s">
        <v>1</v>
      </c>
    </row>
    <row r="483" spans="147:147" x14ac:dyDescent="0.45">
      <c r="EQ483" s="468" t="s">
        <v>1</v>
      </c>
    </row>
    <row r="484" spans="147:147" x14ac:dyDescent="0.45">
      <c r="EQ484" s="468" t="s">
        <v>1</v>
      </c>
    </row>
    <row r="485" spans="147:147" x14ac:dyDescent="0.45">
      <c r="EQ485" s="468" t="s">
        <v>1</v>
      </c>
    </row>
    <row r="486" spans="147:147" x14ac:dyDescent="0.45">
      <c r="EQ486" s="468" t="s">
        <v>1</v>
      </c>
    </row>
    <row r="487" spans="147:147" x14ac:dyDescent="0.45">
      <c r="EQ487" s="468" t="s">
        <v>1</v>
      </c>
    </row>
    <row r="488" spans="147:147" x14ac:dyDescent="0.45">
      <c r="EQ488" s="468" t="s">
        <v>1</v>
      </c>
    </row>
    <row r="489" spans="147:147" x14ac:dyDescent="0.45">
      <c r="EQ489" s="468" t="s">
        <v>1</v>
      </c>
    </row>
    <row r="490" spans="147:147" x14ac:dyDescent="0.45">
      <c r="EQ490" s="468" t="s">
        <v>1</v>
      </c>
    </row>
    <row r="491" spans="147:147" x14ac:dyDescent="0.45">
      <c r="EQ491" s="468" t="s">
        <v>1</v>
      </c>
    </row>
    <row r="492" spans="147:147" x14ac:dyDescent="0.45">
      <c r="EQ492" s="468" t="s">
        <v>1</v>
      </c>
    </row>
    <row r="493" spans="147:147" x14ac:dyDescent="0.45">
      <c r="EQ493" s="468" t="s">
        <v>1</v>
      </c>
    </row>
    <row r="494" spans="147:147" x14ac:dyDescent="0.45">
      <c r="EQ494" s="468" t="s">
        <v>1</v>
      </c>
    </row>
    <row r="495" spans="147:147" x14ac:dyDescent="0.45">
      <c r="EQ495" s="468" t="s">
        <v>1</v>
      </c>
    </row>
    <row r="496" spans="147:147" x14ac:dyDescent="0.45">
      <c r="EQ496" s="468" t="s">
        <v>1</v>
      </c>
    </row>
    <row r="497" spans="147:147" x14ac:dyDescent="0.45">
      <c r="EQ497" s="468" t="s">
        <v>1</v>
      </c>
    </row>
    <row r="498" spans="147:147" x14ac:dyDescent="0.45">
      <c r="EQ498" s="468" t="s">
        <v>1</v>
      </c>
    </row>
    <row r="499" spans="147:147" x14ac:dyDescent="0.45">
      <c r="EQ499" s="468" t="s">
        <v>1</v>
      </c>
    </row>
    <row r="500" spans="147:147" x14ac:dyDescent="0.45">
      <c r="EQ500" s="468" t="s">
        <v>1</v>
      </c>
    </row>
  </sheetData>
  <mergeCells count="22">
    <mergeCell ref="Y12:Z12"/>
    <mergeCell ref="HA12:HB12"/>
    <mergeCell ref="B10:AB10"/>
    <mergeCell ref="ES10:HD10"/>
    <mergeCell ref="AD10:CZ10"/>
    <mergeCell ref="DY10:EJ10"/>
    <mergeCell ref="DB10:DW10"/>
    <mergeCell ref="PE10:PF12"/>
    <mergeCell ref="PG10:PH12"/>
    <mergeCell ref="PO10:PP10"/>
    <mergeCell ref="HF10:LA10"/>
    <mergeCell ref="NU10:OF10"/>
    <mergeCell ref="OW12:OY12"/>
    <mergeCell ref="PB12:PD12"/>
    <mergeCell ref="PL12:PN12"/>
    <mergeCell ref="NP12:NQ12"/>
    <mergeCell ref="LC10:NS10"/>
    <mergeCell ref="KX12:KY12"/>
    <mergeCell ref="OH10:OS10"/>
    <mergeCell ref="PI10:PK12"/>
    <mergeCell ref="OU10:OV12"/>
    <mergeCell ref="OZ10:PA12"/>
  </mergeCells>
  <conditionalFormatting sqref="C14">
    <cfRule type="expression" dxfId="63" priority="4">
      <formula>$D14&lt;&gt;$D13</formula>
    </cfRule>
  </conditionalFormatting>
  <conditionalFormatting sqref="AE14">
    <cfRule type="expression" dxfId="62" priority="2">
      <formula>$D14&lt;&gt;$D13</formula>
    </cfRule>
  </conditionalFormatting>
  <conditionalFormatting sqref="DZ14">
    <cfRule type="expression" dxfId="61" priority="1">
      <formula>$D14&lt;&gt;$D13</formula>
    </cfRule>
  </conditionalFormatting>
  <conditionalFormatting sqref="EN14:EQ14">
    <cfRule type="expression" dxfId="60" priority="5">
      <formula>$B14&lt;&gt;$B13</formula>
    </cfRule>
  </conditionalFormatting>
  <conditionalFormatting sqref="NH13">
    <cfRule type="expression" dxfId="59" priority="8">
      <formula>AND(NH$29&lt;&gt;"Enter #",NH$42="Enter basis")</formula>
    </cfRule>
  </conditionalFormatting>
  <hyperlinks>
    <hyperlink ref="ES3" location="Accts!CZ146" display="Mgd eq - 3177" xr:uid="{BE70E8B3-18BE-4BE7-B68B-BDDA5C12D869}"/>
    <hyperlink ref="B2" location="Accts!H146" display="Self - 6077" xr:uid="{9CF70204-EEB1-4FA8-81D8-C090223E6A48}"/>
    <hyperlink ref="B6" location="Accts!GZ146" display="Mgd Eq - 0965" xr:uid="{A6B74513-1B7B-4FA4-89AF-BF4E213A8E2A}"/>
    <hyperlink ref="B7" location="Accts!JY146" display="Mgd Bd - 0426" xr:uid="{E59F353E-382E-4874-BDB8-0A748B5D5071}"/>
    <hyperlink ref="B9" location="Accts!LM146" display="Mgd BD - 5864" xr:uid="{54627F3C-EF85-4CD0-9EE5-0EE403D4510D}"/>
    <hyperlink ref="OH3" location="Accts!B146" display="Mgd eq - 3177" xr:uid="{E79CAB7C-33D1-46D5-942A-7148DCBBB8E0}"/>
    <hyperlink ref="OH5" location="Accts!AW146" display="Self - 2044" xr:uid="{7FCE2A64-7CDC-42DA-BA52-02CD6B6A4AEF}"/>
    <hyperlink ref="OH6" location="Accts!DS146" display="Mgd Eq - 0965" xr:uid="{FC724B62-4FCB-4088-B54C-C54955A4116F}"/>
    <hyperlink ref="OH7" location="Accts!HD146" display="Mgd Bd - 0426" xr:uid="{67E63864-79EA-4F5C-9131-936698FC87A7}"/>
    <hyperlink ref="B3" location="Accts!CZ146" display="Mgd eq - 3177" xr:uid="{8138FD7B-00A6-4252-A476-1450A4A5CE48}"/>
    <hyperlink ref="ES5" location="Accts!ER146" display="Self - 2044" xr:uid="{944073CA-5A37-464D-94FE-E7C23A615786}"/>
    <hyperlink ref="AD5" location="Accts!ER146" display="Self - 2044" xr:uid="{B5FE4F67-B079-45A2-BC22-2A32DD27F9EC}"/>
    <hyperlink ref="ES6" location="Accts!GZ146" display="Mgd Eq - 0965" xr:uid="{C840193B-30AD-4492-A2A1-8AB7297D0F6B}"/>
    <hyperlink ref="AD6" location="Accts!GZ146" display="Mgd Eq - 0965" xr:uid="{819C24B1-A8DC-462E-A08D-BAA3CB3A4FBB}"/>
    <hyperlink ref="ES7" location="Accts!JY146" display="Mgd Bd - 0426" xr:uid="{38F7239B-5A6D-493D-A531-EF177B6BE90A}"/>
    <hyperlink ref="AD7" location="Accts!JY146" display="Mgd Bd - 0426" xr:uid="{6FD5847B-312C-4F13-9062-121ED78A8C35}"/>
    <hyperlink ref="HF7" location="Accts!JY146" display="Mgd Bd - 0426" xr:uid="{245DC439-A16B-4DC9-8C8F-8697494C303E}"/>
    <hyperlink ref="LC7" location="Accts!JY146" display="Mgd Bd - 0426" xr:uid="{6F8B4CFE-8F6D-44FA-9A58-1FDFA49BADF6}"/>
    <hyperlink ref="ES9" location="Accts!LM146" display="Mgd BD - 5864" xr:uid="{16735507-270C-4C33-A603-8BF8B45C307B}"/>
    <hyperlink ref="AD9" location="Accts!LM146" display="Mgd BD - 5864" xr:uid="{C353EB06-3F8E-4549-B635-0EC06377724C}"/>
    <hyperlink ref="HF9" location="Accts!LM146" display="Mgd BD - 5864" xr:uid="{DC3AD59A-8AB5-4419-A25A-4F31FBCAD10D}"/>
    <hyperlink ref="LC9" location="Accts!LM146" display="Mgd BD - 5864" xr:uid="{3CA26B19-216F-4D66-94BE-214457A3F166}"/>
    <hyperlink ref="NU9" location="Accts!LM146" display="Mgd BD - 5864" xr:uid="{7E8E441D-9CE7-4C66-AB64-D7684184CB90}"/>
    <hyperlink ref="OH9" location="Accts!IV146" display="Mgd BD - 5864" xr:uid="{DB207CC5-F143-4008-A567-1E32CCEFA3AF}"/>
    <hyperlink ref="NU7" location="Accts!HD146" display="Mgd Bd - 0426" xr:uid="{866DA0CA-6783-48DB-85BF-BA1DCDE3C82F}"/>
    <hyperlink ref="HF6" location="Accts!EY146" display="Mgd Eq - 0965" xr:uid="{205C75C0-611E-4FAE-95C2-06653AEEA24B}"/>
    <hyperlink ref="HF2" location="Accts!B146" display="Self - 6077" xr:uid="{DE0DC38A-ABAE-4994-98C6-9D2E5A760A21}"/>
    <hyperlink ref="AD2" location="Accts!B146" display="Self - 6077" xr:uid="{65E3A65B-C4C0-4F82-A1AC-D46BAD920698}"/>
    <hyperlink ref="ES2" location="Accts!B146" display="Self - 6077" xr:uid="{283AEC0F-97E3-40FF-AD80-AD37C0365026}"/>
    <hyperlink ref="NU3" location="Accts!B146" display="Mgd eq - 3177" xr:uid="{35993C38-E2A7-4306-B8F3-43B461FE67DD}"/>
    <hyperlink ref="LC3" location="Accts!B146" display="Mgd eq - 3177" xr:uid="{020B8A95-D7DD-46ED-A67E-167E1AACD02E}"/>
    <hyperlink ref="HF5" location="Accts!AW146" display="Self - 2044" xr:uid="{B9393EF4-6AFE-46F7-BC1C-3DBEC3D4D822}"/>
    <hyperlink ref="LC5" location="Accts!AW146" display="Self - 2044" xr:uid="{DC6A8D4F-3F21-4C08-AA88-BC0070027A3E}"/>
    <hyperlink ref="NU5" location="Accts!AW146" display="Self - 2044" xr:uid="{95AD653B-D1BB-4CDD-A07C-DCDDC2A66E6B}"/>
    <hyperlink ref="LC6" location="Accts!DS146" display="Mgd Eq - 0965" xr:uid="{946180B8-0BC3-43F1-986E-05C14FA581DE}"/>
    <hyperlink ref="NU6" location="Accts!DS146" display="Mgd Eq - 0965" xr:uid="{C9E2F3D3-8C77-43D9-AC60-BAEF1D23CEC1}"/>
    <hyperlink ref="B5" location="Accts!ER146" display="Self - 2044" xr:uid="{6D84E244-A50C-47B1-8D4A-2170319A4959}"/>
    <hyperlink ref="LC2" location="Accts!B146" display="Self - 6077" xr:uid="{DEC796B8-F87F-4F00-BD9B-B3EDEDE685B3}"/>
    <hyperlink ref="NU2" location="Accts!B146" display="Self - 6077" xr:uid="{14D0431A-2B7E-4880-B1D5-46BEE2DB57B3}"/>
    <hyperlink ref="OH2" location="Accts!B146" display="Self - 6077" xr:uid="{BE9FEEE2-4329-4EFD-9407-89D8B7C921D9}"/>
    <hyperlink ref="HF3" location="Accts!B146" display="Mgd eq - 3177" xr:uid="{AD5027F0-F51F-4246-AB8C-8696CEE0B2F7}"/>
    <hyperlink ref="AD3" location="Accts!B146" display="Mgd eq - 3177" xr:uid="{9C7ABB02-1215-4903-820B-83E3C0B2BAAF}"/>
    <hyperlink ref="JR7" location="Accts!JY146" display="Mgd Bd - 0426" xr:uid="{717BAAEE-F112-4977-B89F-9213AC14ACE9}"/>
    <hyperlink ref="JR9" location="Accts!LM146" display="Mgd BD - 5864" xr:uid="{5E744931-252A-48C9-8362-BF388C2FB71E}"/>
    <hyperlink ref="JR6" location="Accts!EY146" display="Mgd Eq - 0965" xr:uid="{CD478EFF-6185-42FF-9497-90CBBAA05972}"/>
    <hyperlink ref="JR2" location="Accts!B146" display="Self - 6077" xr:uid="{6AD15D82-503B-46BF-B654-670A69721334}"/>
    <hyperlink ref="JR5" location="Accts!AW146" display="Self - 2044" xr:uid="{C4F6CE38-163E-42BB-AE01-9519DD3C93DB}"/>
    <hyperlink ref="JR3" location="Accts!B146" display="Mgd eq - 3177" xr:uid="{69814D98-F720-4C32-B0EC-11AA4D479F19}"/>
    <hyperlink ref="DY9" location="Accts!LM146" display="Mgd BD - 5864" xr:uid="{F3474041-E499-4D66-AE75-FE01F86343C2}"/>
    <hyperlink ref="DY7" location="Accts!HD146" display="Mgd Bd - 0426" xr:uid="{95A32C2F-1354-480A-81D3-D9BEDA10317D}"/>
    <hyperlink ref="DY3" location="Accts!B146" display="Mgd eq - 3177" xr:uid="{DFA07B2C-60C5-40B9-B65F-D82F232E07B9}"/>
    <hyperlink ref="DY5" location="Accts!AW146" display="Self - 2044" xr:uid="{8B061867-7C0B-456C-B436-9D9096E5405A}"/>
    <hyperlink ref="DY6" location="Accts!DS146" display="Mgd Eq - 0965" xr:uid="{8B16E18E-73C0-4921-99F4-64D7FBF44E05}"/>
    <hyperlink ref="DY2" location="Accts!B146" display="Self - 6077" xr:uid="{EAEEAA28-8163-41DF-B76F-3C1A105688F9}"/>
    <hyperlink ref="DD3" location="Accts!B146" display="Mgd eq - 3177" xr:uid="{95DEAFB8-3157-4BAE-AB20-D81825708065}"/>
    <hyperlink ref="DD2" location="Accts!B146" display="Self - 6077" xr:uid="{06DF19BA-12CB-495A-B01F-A6529C863D27}"/>
    <hyperlink ref="DD9" location="Accts!LM146" display="Mgd BD - 5864" xr:uid="{078A8000-3817-43DF-AE64-F447821A285D}"/>
    <hyperlink ref="DD7" location="Accts!JY146" display="Mgd Bd - 0426" xr:uid="{FAA6F702-877B-48AF-BE09-1CA740D405E4}"/>
    <hyperlink ref="DD6" location="Accts!GZ146" display="Mgd Eq - 0965" xr:uid="{2E228B2E-C17A-4B49-AB92-17B87F4EA708}"/>
    <hyperlink ref="DD5" location="Accts!ER146" display="Self - 2044" xr:uid="{528C44B7-D976-4404-8D00-D4400EF89B50}"/>
    <hyperlink ref="EN14" r:id="rId1" xr:uid="{357E6751-8B90-4BFD-8D9C-726B21C0CABF}"/>
    <hyperlink ref="EL14" r:id="rId2" xr:uid="{C51860B6-E91E-486B-8E91-8A23487A42E7}"/>
  </hyperlinks>
  <pageMargins left="0.7" right="0.7" top="0.75" bottom="0.75" header="0.3" footer="0.3"/>
  <pageSetup orientation="portrait" r:id="rId3"/>
  <ignoredErrors>
    <ignoredError sqref="PB19:PB28" formulaRange="1"/>
  </ignoredErrors>
  <legacy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Y148"/>
  <sheetViews>
    <sheetView topLeftCell="A4" workbookViewId="0">
      <selection activeCell="H35" sqref="H35"/>
    </sheetView>
  </sheetViews>
  <sheetFormatPr defaultColWidth="12.54296875" defaultRowHeight="14.5" x14ac:dyDescent="0.35"/>
  <cols>
    <col min="1" max="1" width="9.81640625" bestFit="1" customWidth="1"/>
    <col min="2" max="2" width="28.54296875" customWidth="1"/>
    <col min="3" max="3" width="12.1796875" customWidth="1"/>
    <col min="4" max="4" width="14.54296875" customWidth="1"/>
    <col min="5" max="5" width="28.54296875" customWidth="1"/>
    <col min="6" max="6" width="12.1796875" customWidth="1"/>
    <col min="8" max="8" width="28.54296875" customWidth="1"/>
    <col min="9" max="9" width="12.1796875" customWidth="1"/>
    <col min="11" max="11" width="28.81640625" customWidth="1"/>
    <col min="14" max="14" width="28.81640625" customWidth="1"/>
    <col min="17" max="17" width="1.54296875" customWidth="1"/>
    <col min="18" max="18" width="29" customWidth="1"/>
    <col min="20" max="20" width="1.81640625" customWidth="1"/>
    <col min="21" max="21" width="28.54296875" customWidth="1"/>
    <col min="24" max="24" width="29" customWidth="1"/>
  </cols>
  <sheetData>
    <row r="1" spans="2:25" x14ac:dyDescent="0.35">
      <c r="B1" s="32"/>
      <c r="C1" s="32"/>
      <c r="D1" s="32"/>
    </row>
    <row r="2" spans="2:25" x14ac:dyDescent="0.35">
      <c r="B2" s="183" t="s">
        <v>404</v>
      </c>
      <c r="C2" s="182">
        <v>45897</v>
      </c>
      <c r="D2" s="32"/>
      <c r="Q2" s="215"/>
      <c r="R2" s="588" t="s">
        <v>405</v>
      </c>
      <c r="S2" s="588"/>
      <c r="T2" s="215"/>
      <c r="X2" s="586"/>
      <c r="Y2" s="586"/>
    </row>
    <row r="3" spans="2:25" x14ac:dyDescent="0.35">
      <c r="B3" s="183"/>
      <c r="C3" s="182"/>
      <c r="D3" s="32"/>
      <c r="Q3" s="215"/>
      <c r="R3" s="588"/>
      <c r="S3" s="588"/>
      <c r="T3" s="215"/>
      <c r="X3" s="545"/>
      <c r="Y3" s="545"/>
    </row>
    <row r="4" spans="2:25" ht="15" thickBot="1" x14ac:dyDescent="0.4">
      <c r="D4" s="32"/>
      <c r="Q4" s="215"/>
      <c r="R4" s="588"/>
      <c r="S4" s="588"/>
      <c r="T4" s="215"/>
    </row>
    <row r="5" spans="2:25" ht="15.65" customHeight="1" x14ac:dyDescent="0.35">
      <c r="B5" s="219" t="s">
        <v>406</v>
      </c>
      <c r="C5" s="218" t="s">
        <v>63</v>
      </c>
      <c r="E5" s="219" t="s">
        <v>406</v>
      </c>
      <c r="F5" s="218" t="s">
        <v>69</v>
      </c>
      <c r="H5" s="219" t="s">
        <v>406</v>
      </c>
      <c r="I5" s="218" t="s">
        <v>79</v>
      </c>
      <c r="J5" s="258"/>
      <c r="K5" s="219" t="s">
        <v>406</v>
      </c>
      <c r="L5" s="218" t="s">
        <v>80</v>
      </c>
      <c r="M5" s="73"/>
      <c r="N5" s="219" t="s">
        <v>406</v>
      </c>
      <c r="O5" s="218" t="s">
        <v>407</v>
      </c>
      <c r="Q5" s="215"/>
      <c r="R5" s="219" t="s">
        <v>406</v>
      </c>
      <c r="S5" s="218" t="s">
        <v>407</v>
      </c>
      <c r="T5" s="215"/>
    </row>
    <row r="6" spans="2:25" ht="14.5" customHeight="1" thickBot="1" x14ac:dyDescent="0.4">
      <c r="B6" s="220" t="s">
        <v>408</v>
      </c>
      <c r="C6" s="221">
        <f>$C$2</f>
        <v>45897</v>
      </c>
      <c r="E6" s="220" t="s">
        <v>408</v>
      </c>
      <c r="F6" s="221">
        <f>$C$2</f>
        <v>45897</v>
      </c>
      <c r="H6" s="220" t="s">
        <v>408</v>
      </c>
      <c r="I6" s="221">
        <f>$C$2</f>
        <v>45897</v>
      </c>
      <c r="J6" s="258"/>
      <c r="K6" s="220" t="s">
        <v>408</v>
      </c>
      <c r="L6" s="221">
        <f>$C$2</f>
        <v>45897</v>
      </c>
      <c r="M6" s="73"/>
      <c r="N6" s="220" t="s">
        <v>408</v>
      </c>
      <c r="O6" s="221">
        <f>$C$2</f>
        <v>45897</v>
      </c>
      <c r="Q6" s="215"/>
      <c r="R6" s="220" t="s">
        <v>408</v>
      </c>
      <c r="S6" s="221">
        <f>$C$2</f>
        <v>45897</v>
      </c>
      <c r="T6" s="215"/>
    </row>
    <row r="7" spans="2:25" ht="14.5" customHeight="1" x14ac:dyDescent="0.35">
      <c r="B7" s="166"/>
      <c r="C7" s="167"/>
      <c r="E7" s="166"/>
      <c r="F7" s="167"/>
      <c r="H7" s="166"/>
      <c r="I7" s="167"/>
      <c r="J7" s="258"/>
      <c r="K7" s="166"/>
      <c r="L7" s="167"/>
      <c r="M7" s="73"/>
      <c r="N7" s="166"/>
      <c r="O7" s="167"/>
      <c r="Q7" s="215"/>
      <c r="R7" s="166"/>
      <c r="S7" s="167"/>
      <c r="T7" s="215"/>
    </row>
    <row r="8" spans="2:25" ht="14.5" customHeight="1" x14ac:dyDescent="0.35">
      <c r="B8" s="173" t="s">
        <v>409</v>
      </c>
      <c r="C8" s="74"/>
      <c r="E8" s="173" t="s">
        <v>409</v>
      </c>
      <c r="F8" s="74"/>
      <c r="H8" s="173" t="s">
        <v>409</v>
      </c>
      <c r="I8" s="74"/>
      <c r="J8" s="258"/>
      <c r="K8" s="173" t="s">
        <v>409</v>
      </c>
      <c r="L8" s="74"/>
      <c r="M8" s="73"/>
      <c r="N8" s="173" t="s">
        <v>409</v>
      </c>
      <c r="O8" s="74"/>
      <c r="Q8" s="215"/>
      <c r="R8" s="173" t="s">
        <v>409</v>
      </c>
      <c r="S8" s="74"/>
      <c r="T8" s="215"/>
    </row>
    <row r="9" spans="2:25" s="170" customFormat="1" ht="14.5" customHeight="1" x14ac:dyDescent="0.35">
      <c r="B9" s="168" t="s">
        <v>410</v>
      </c>
      <c r="C9" s="473">
        <v>80</v>
      </c>
      <c r="E9" s="168" t="s">
        <v>410</v>
      </c>
      <c r="F9" s="473">
        <v>150</v>
      </c>
      <c r="H9" s="168" t="s">
        <v>410</v>
      </c>
      <c r="I9" s="473">
        <v>7790</v>
      </c>
      <c r="J9" s="259"/>
      <c r="K9" s="168" t="s">
        <v>410</v>
      </c>
      <c r="L9" s="473">
        <v>11984</v>
      </c>
      <c r="M9" s="168"/>
      <c r="N9" s="168" t="s">
        <v>410</v>
      </c>
      <c r="O9" s="473" t="s">
        <v>411</v>
      </c>
      <c r="Q9" s="261"/>
      <c r="R9" s="168" t="s">
        <v>410</v>
      </c>
      <c r="S9" s="473" t="s">
        <v>411</v>
      </c>
      <c r="T9" s="261"/>
      <c r="U9"/>
      <c r="V9"/>
      <c r="W9"/>
      <c r="X9"/>
      <c r="Y9"/>
    </row>
    <row r="10" spans="2:25" ht="14.5" customHeight="1" x14ac:dyDescent="0.35">
      <c r="B10" s="73" t="s">
        <v>412</v>
      </c>
      <c r="C10" s="473">
        <v>167.51</v>
      </c>
      <c r="E10" s="73" t="s">
        <v>412</v>
      </c>
      <c r="F10" s="74">
        <v>47.497500000000002</v>
      </c>
      <c r="H10" s="73" t="s">
        <v>412</v>
      </c>
      <c r="I10" s="473">
        <v>14.12</v>
      </c>
      <c r="J10" s="258"/>
      <c r="K10" s="73" t="s">
        <v>412</v>
      </c>
      <c r="L10" s="473">
        <v>22.53</v>
      </c>
      <c r="M10" s="73"/>
      <c r="N10" s="73" t="s">
        <v>412</v>
      </c>
      <c r="O10" s="473" t="str">
        <f>IF(O9=0,"N/A","Enter basis")</f>
        <v>Enter basis</v>
      </c>
      <c r="Q10" s="215"/>
      <c r="R10" s="73" t="s">
        <v>412</v>
      </c>
      <c r="S10" s="473" t="str">
        <f>IF(S9=0,"N/A","Enter basis")</f>
        <v>Enter basis</v>
      </c>
      <c r="T10" s="215"/>
    </row>
    <row r="11" spans="2:25" ht="14.5" customHeight="1" x14ac:dyDescent="0.35">
      <c r="B11" s="73"/>
      <c r="C11" s="74"/>
      <c r="E11" s="73"/>
      <c r="F11" s="74"/>
      <c r="H11" s="73"/>
      <c r="I11" s="74"/>
      <c r="J11" s="258"/>
      <c r="K11" s="73"/>
      <c r="L11" s="74"/>
      <c r="M11" s="73"/>
      <c r="N11" s="73"/>
      <c r="O11" s="74"/>
      <c r="Q11" s="215"/>
      <c r="R11" s="73"/>
      <c r="S11" s="74"/>
      <c r="T11" s="215"/>
    </row>
    <row r="12" spans="2:25" ht="14.5" customHeight="1" x14ac:dyDescent="0.35">
      <c r="B12" s="174" t="s">
        <v>413</v>
      </c>
      <c r="C12" s="74"/>
      <c r="E12" s="174" t="s">
        <v>413</v>
      </c>
      <c r="F12" s="74"/>
      <c r="H12" s="174" t="s">
        <v>413</v>
      </c>
      <c r="I12" s="74"/>
      <c r="J12" s="258"/>
      <c r="K12" s="174" t="s">
        <v>413</v>
      </c>
      <c r="L12" s="74"/>
      <c r="M12" s="73"/>
      <c r="N12" s="174" t="s">
        <v>413</v>
      </c>
      <c r="O12" s="74"/>
      <c r="Q12" s="215"/>
      <c r="R12" s="174" t="s">
        <v>413</v>
      </c>
      <c r="S12" s="74"/>
      <c r="T12" s="215"/>
    </row>
    <row r="13" spans="2:25" s="212" customFormat="1" ht="14.5" customHeight="1" x14ac:dyDescent="0.35">
      <c r="B13" s="210" t="s">
        <v>414</v>
      </c>
      <c r="C13" s="473">
        <v>80</v>
      </c>
      <c r="E13" s="210" t="s">
        <v>414</v>
      </c>
      <c r="F13" s="473">
        <v>150</v>
      </c>
      <c r="H13" s="210" t="s">
        <v>414</v>
      </c>
      <c r="I13" s="473">
        <v>7175</v>
      </c>
      <c r="J13" s="260"/>
      <c r="K13" s="210" t="s">
        <v>414</v>
      </c>
      <c r="L13" s="473">
        <v>1764.4459999999999</v>
      </c>
      <c r="M13" s="210"/>
      <c r="N13" s="210" t="s">
        <v>414</v>
      </c>
      <c r="O13" s="473" t="s">
        <v>411</v>
      </c>
      <c r="Q13" s="262"/>
      <c r="R13" s="210" t="s">
        <v>414</v>
      </c>
      <c r="S13" s="473" t="s">
        <v>411</v>
      </c>
      <c r="T13" s="262"/>
    </row>
    <row r="14" spans="2:25" ht="14.5" customHeight="1" x14ac:dyDescent="0.35">
      <c r="B14" s="73" t="s">
        <v>415</v>
      </c>
      <c r="C14" s="473">
        <v>230.523</v>
      </c>
      <c r="E14" s="73" t="s">
        <v>415</v>
      </c>
      <c r="F14" s="473">
        <v>64.959999999999994</v>
      </c>
      <c r="H14" s="73" t="s">
        <v>415</v>
      </c>
      <c r="I14" s="473">
        <v>13.99</v>
      </c>
      <c r="J14" s="258"/>
      <c r="K14" s="73" t="s">
        <v>415</v>
      </c>
      <c r="L14" s="74">
        <v>22.670005</v>
      </c>
      <c r="M14" s="73"/>
      <c r="N14" s="73" t="s">
        <v>415</v>
      </c>
      <c r="O14" s="473" t="str">
        <f>IF(O13=0,"N/A","Enter price")</f>
        <v>Enter price</v>
      </c>
      <c r="Q14" s="215"/>
      <c r="R14" s="73" t="s">
        <v>415</v>
      </c>
      <c r="S14" s="473" t="str">
        <f>IF(S13=0,"N/A","Enter price")</f>
        <v>Enter price</v>
      </c>
      <c r="T14" s="215"/>
    </row>
    <row r="15" spans="2:25" ht="29.5" customHeight="1" x14ac:dyDescent="0.35">
      <c r="B15" s="73" t="s">
        <v>416</v>
      </c>
      <c r="C15" s="162">
        <f>C13*C14</f>
        <v>18441.84</v>
      </c>
      <c r="E15" s="73" t="s">
        <v>416</v>
      </c>
      <c r="F15" s="162">
        <f>F13*F14</f>
        <v>9743.9999999999982</v>
      </c>
      <c r="H15" s="73" t="s">
        <v>416</v>
      </c>
      <c r="I15" s="162">
        <f>I13*I14</f>
        <v>100378.25</v>
      </c>
      <c r="J15" s="258"/>
      <c r="K15" s="73" t="s">
        <v>416</v>
      </c>
      <c r="L15" s="162">
        <f>L13*L14</f>
        <v>39999.999642229996</v>
      </c>
      <c r="M15" s="73"/>
      <c r="N15" s="73" t="s">
        <v>416</v>
      </c>
      <c r="O15" s="162" t="e">
        <f>O13*O14</f>
        <v>#VALUE!</v>
      </c>
      <c r="Q15" s="215"/>
      <c r="R15" s="73" t="s">
        <v>416</v>
      </c>
      <c r="S15" s="162" t="e">
        <f>S13*S14</f>
        <v>#VALUE!</v>
      </c>
      <c r="T15" s="215"/>
    </row>
    <row r="16" spans="2:25" ht="14.5" customHeight="1" x14ac:dyDescent="0.35">
      <c r="B16" s="73" t="s">
        <v>417</v>
      </c>
      <c r="C16" s="162">
        <v>0</v>
      </c>
      <c r="E16" s="73" t="s">
        <v>417</v>
      </c>
      <c r="F16" s="162">
        <v>0</v>
      </c>
      <c r="H16" s="73" t="s">
        <v>417</v>
      </c>
      <c r="I16" s="162">
        <v>0</v>
      </c>
      <c r="J16" s="258"/>
      <c r="K16" s="73" t="s">
        <v>417</v>
      </c>
      <c r="L16" s="162">
        <v>0</v>
      </c>
      <c r="M16" s="73"/>
      <c r="N16" s="73" t="s">
        <v>417</v>
      </c>
      <c r="O16" s="162">
        <v>0</v>
      </c>
      <c r="Q16" s="215"/>
      <c r="R16" s="73" t="s">
        <v>417</v>
      </c>
      <c r="S16" s="162">
        <v>0</v>
      </c>
      <c r="T16" s="215"/>
    </row>
    <row r="17" spans="2:25" ht="14.5" customHeight="1" x14ac:dyDescent="0.35">
      <c r="B17" s="73" t="s">
        <v>418</v>
      </c>
      <c r="C17" s="162">
        <f>C15-C16</f>
        <v>18441.84</v>
      </c>
      <c r="E17" s="73" t="s">
        <v>418</v>
      </c>
      <c r="F17" s="162">
        <f>F15-F16</f>
        <v>9743.9999999999982</v>
      </c>
      <c r="H17" s="73" t="s">
        <v>418</v>
      </c>
      <c r="I17" s="162">
        <f>I15-I16</f>
        <v>100378.25</v>
      </c>
      <c r="J17" s="258"/>
      <c r="K17" s="73" t="s">
        <v>418</v>
      </c>
      <c r="L17" s="162">
        <f>L15-L16</f>
        <v>39999.999642229996</v>
      </c>
      <c r="M17" s="73"/>
      <c r="N17" s="73" t="s">
        <v>418</v>
      </c>
      <c r="O17" s="162" t="e">
        <f>O15-O16</f>
        <v>#VALUE!</v>
      </c>
      <c r="Q17" s="215"/>
      <c r="R17" s="73" t="s">
        <v>418</v>
      </c>
      <c r="S17" s="162" t="e">
        <f>S15-S16</f>
        <v>#VALUE!</v>
      </c>
      <c r="T17" s="215"/>
    </row>
    <row r="18" spans="2:25" ht="14.5" customHeight="1" x14ac:dyDescent="0.35">
      <c r="B18" s="73" t="s">
        <v>419</v>
      </c>
      <c r="C18" s="162">
        <f>C13*C10</f>
        <v>13400.8</v>
      </c>
      <c r="E18" s="73" t="s">
        <v>419</v>
      </c>
      <c r="F18" s="162">
        <f>F13*F10</f>
        <v>7124.625</v>
      </c>
      <c r="H18" s="73" t="s">
        <v>419</v>
      </c>
      <c r="I18" s="162">
        <f>I13*I10</f>
        <v>101311</v>
      </c>
      <c r="J18" s="258"/>
      <c r="K18" s="73" t="s">
        <v>419</v>
      </c>
      <c r="L18" s="162">
        <f>L13*L10</f>
        <v>39752.968379999998</v>
      </c>
      <c r="M18" s="73"/>
      <c r="N18" s="73" t="s">
        <v>419</v>
      </c>
      <c r="O18" s="162" t="e">
        <f>O13*O10</f>
        <v>#VALUE!</v>
      </c>
      <c r="Q18" s="215"/>
      <c r="R18" s="73" t="s">
        <v>419</v>
      </c>
      <c r="S18" s="162" t="e">
        <f>S13*S10</f>
        <v>#VALUE!</v>
      </c>
      <c r="T18" s="215"/>
    </row>
    <row r="19" spans="2:25" ht="14.5" customHeight="1" x14ac:dyDescent="0.35">
      <c r="B19" s="73" t="s">
        <v>420</v>
      </c>
      <c r="C19" s="163">
        <f>C17-C18</f>
        <v>5041.0400000000009</v>
      </c>
      <c r="E19" s="73" t="s">
        <v>420</v>
      </c>
      <c r="F19" s="163">
        <f>F17-F18</f>
        <v>2619.3749999999982</v>
      </c>
      <c r="H19" s="73" t="s">
        <v>420</v>
      </c>
      <c r="I19" s="163">
        <f>I17-I18</f>
        <v>-932.75</v>
      </c>
      <c r="J19" s="258"/>
      <c r="K19" s="73" t="s">
        <v>420</v>
      </c>
      <c r="L19" s="163">
        <f>L17-L18</f>
        <v>247.03126222999708</v>
      </c>
      <c r="M19" s="73"/>
      <c r="N19" s="73" t="s">
        <v>420</v>
      </c>
      <c r="O19" s="163" t="e">
        <f>O17-O18</f>
        <v>#VALUE!</v>
      </c>
      <c r="Q19" s="215"/>
      <c r="R19" s="73" t="s">
        <v>420</v>
      </c>
      <c r="S19" s="163" t="e">
        <f>S17-S18</f>
        <v>#VALUE!</v>
      </c>
      <c r="T19" s="215"/>
    </row>
    <row r="20" spans="2:25" ht="14.5" customHeight="1" x14ac:dyDescent="0.35">
      <c r="B20" s="196"/>
      <c r="C20" s="204"/>
      <c r="E20" s="196"/>
      <c r="F20" s="204"/>
      <c r="H20" s="196"/>
      <c r="I20" s="204"/>
      <c r="J20" s="258"/>
      <c r="K20" s="196"/>
      <c r="L20" s="204"/>
      <c r="M20" s="73"/>
      <c r="N20" s="196"/>
      <c r="O20" s="204"/>
      <c r="Q20" s="215"/>
      <c r="R20" s="196"/>
      <c r="S20" s="204"/>
      <c r="T20" s="215"/>
    </row>
    <row r="21" spans="2:25" ht="14.5" customHeight="1" x14ac:dyDescent="0.35">
      <c r="B21" s="174" t="s">
        <v>421</v>
      </c>
      <c r="C21" s="74"/>
      <c r="E21" s="174" t="s">
        <v>421</v>
      </c>
      <c r="F21" s="74"/>
      <c r="H21" s="174" t="s">
        <v>421</v>
      </c>
      <c r="I21" s="74"/>
      <c r="J21" s="258"/>
      <c r="K21" s="174" t="s">
        <v>421</v>
      </c>
      <c r="L21" s="74"/>
      <c r="M21" s="73"/>
      <c r="N21" s="174" t="s">
        <v>421</v>
      </c>
      <c r="O21" s="74"/>
      <c r="Q21" s="215"/>
      <c r="R21" s="174" t="s">
        <v>421</v>
      </c>
      <c r="S21" s="74"/>
      <c r="T21" s="215"/>
    </row>
    <row r="22" spans="2:25" ht="14.5" customHeight="1" x14ac:dyDescent="0.35">
      <c r="B22" s="73" t="s">
        <v>422</v>
      </c>
      <c r="C22" s="161">
        <f>C6</f>
        <v>45897</v>
      </c>
      <c r="E22" s="73" t="s">
        <v>422</v>
      </c>
      <c r="F22" s="161">
        <f>F6</f>
        <v>45897</v>
      </c>
      <c r="H22" s="73" t="s">
        <v>422</v>
      </c>
      <c r="I22" s="161">
        <f>I6</f>
        <v>45897</v>
      </c>
      <c r="J22" s="258"/>
      <c r="K22" s="73" t="s">
        <v>422</v>
      </c>
      <c r="L22" s="161">
        <f>L6</f>
        <v>45897</v>
      </c>
      <c r="M22" s="73"/>
      <c r="N22" s="73" t="s">
        <v>422</v>
      </c>
      <c r="O22" s="161">
        <f>O6</f>
        <v>45897</v>
      </c>
      <c r="Q22" s="215"/>
      <c r="R22" s="73" t="s">
        <v>422</v>
      </c>
      <c r="S22" s="161">
        <f>S6</f>
        <v>45897</v>
      </c>
      <c r="T22" s="215"/>
    </row>
    <row r="23" spans="2:25" s="212" customFormat="1" ht="14.5" customHeight="1" x14ac:dyDescent="0.35">
      <c r="B23" s="210" t="s">
        <v>423</v>
      </c>
      <c r="C23" s="209">
        <f>C9-C13</f>
        <v>0</v>
      </c>
      <c r="E23" s="210" t="s">
        <v>423</v>
      </c>
      <c r="F23" s="209">
        <f>F9-F13</f>
        <v>0</v>
      </c>
      <c r="H23" s="210" t="s">
        <v>423</v>
      </c>
      <c r="I23" s="473">
        <f>I9-I13</f>
        <v>615</v>
      </c>
      <c r="J23" s="260"/>
      <c r="K23" s="210" t="s">
        <v>423</v>
      </c>
      <c r="L23" s="473">
        <f>L9-L13</f>
        <v>10219.554</v>
      </c>
      <c r="M23" s="210"/>
      <c r="N23" s="210" t="s">
        <v>423</v>
      </c>
      <c r="O23" s="209" t="e">
        <f>O9-O13</f>
        <v>#VALUE!</v>
      </c>
      <c r="Q23" s="262"/>
      <c r="R23" s="210" t="s">
        <v>423</v>
      </c>
      <c r="S23" s="473" t="e">
        <f>S9-S13</f>
        <v>#VALUE!</v>
      </c>
      <c r="T23" s="262"/>
    </row>
    <row r="24" spans="2:25" ht="14.5" customHeight="1" thickBot="1" x14ac:dyDescent="0.4">
      <c r="B24" s="75" t="s">
        <v>424</v>
      </c>
      <c r="C24" s="164">
        <f>IF(C23=0,0,C10)</f>
        <v>0</v>
      </c>
      <c r="E24" s="75" t="s">
        <v>424</v>
      </c>
      <c r="F24" s="164">
        <f>IF(F23=0,0,F10)</f>
        <v>0</v>
      </c>
      <c r="H24" s="75" t="s">
        <v>424</v>
      </c>
      <c r="I24" s="473">
        <f>IF(I23=0,0,I10)</f>
        <v>14.12</v>
      </c>
      <c r="J24" s="258"/>
      <c r="K24" s="75" t="s">
        <v>424</v>
      </c>
      <c r="L24" s="473">
        <f>IF(L23=0,0,L10)</f>
        <v>22.53</v>
      </c>
      <c r="M24" s="73"/>
      <c r="N24" s="75" t="s">
        <v>424</v>
      </c>
      <c r="O24" s="164" t="e">
        <f>IF(O23=0,0,O10)</f>
        <v>#VALUE!</v>
      </c>
      <c r="Q24" s="215"/>
      <c r="R24" s="75" t="s">
        <v>424</v>
      </c>
      <c r="S24" s="473" t="e">
        <f>IF(S23=0,0,S10)</f>
        <v>#VALUE!</v>
      </c>
      <c r="T24" s="215"/>
    </row>
    <row r="25" spans="2:25" ht="14.5" customHeight="1" thickBot="1" x14ac:dyDescent="0.4">
      <c r="Q25" s="215"/>
      <c r="R25" s="263"/>
      <c r="S25" s="263"/>
      <c r="T25" s="215"/>
    </row>
    <row r="26" spans="2:25" ht="16" customHeight="1" x14ac:dyDescent="0.35">
      <c r="B26" s="219" t="s">
        <v>425</v>
      </c>
      <c r="C26" s="218" t="s">
        <v>38</v>
      </c>
      <c r="E26" s="219" t="s">
        <v>425</v>
      </c>
      <c r="F26" s="218" t="s">
        <v>41</v>
      </c>
      <c r="H26" s="219" t="s">
        <v>425</v>
      </c>
      <c r="I26" s="218" t="s">
        <v>42</v>
      </c>
      <c r="J26" s="258"/>
      <c r="K26" s="219" t="s">
        <v>425</v>
      </c>
      <c r="L26" s="218" t="s">
        <v>43</v>
      </c>
      <c r="M26" s="258"/>
      <c r="N26" s="219" t="s">
        <v>425</v>
      </c>
      <c r="O26" s="218" t="s">
        <v>47</v>
      </c>
      <c r="P26" s="73"/>
      <c r="Q26" s="215"/>
      <c r="R26" s="219" t="s">
        <v>425</v>
      </c>
      <c r="S26" s="218" t="s">
        <v>407</v>
      </c>
      <c r="T26" s="215"/>
    </row>
    <row r="27" spans="2:25" ht="14.5" customHeight="1" thickBot="1" x14ac:dyDescent="0.4">
      <c r="B27" s="220" t="s">
        <v>426</v>
      </c>
      <c r="C27" s="221">
        <f>$C$2</f>
        <v>45897</v>
      </c>
      <c r="E27" s="220" t="s">
        <v>426</v>
      </c>
      <c r="F27" s="221">
        <f>$C$2</f>
        <v>45897</v>
      </c>
      <c r="H27" s="220" t="s">
        <v>426</v>
      </c>
      <c r="I27" s="221">
        <f>$C$2</f>
        <v>45897</v>
      </c>
      <c r="J27" s="258"/>
      <c r="K27" s="220" t="s">
        <v>426</v>
      </c>
      <c r="L27" s="221">
        <f>$C$2</f>
        <v>45897</v>
      </c>
      <c r="M27" s="258"/>
      <c r="N27" s="220" t="s">
        <v>426</v>
      </c>
      <c r="O27" s="221">
        <f>$C$2</f>
        <v>45897</v>
      </c>
      <c r="P27" s="73"/>
      <c r="Q27" s="215"/>
      <c r="R27" s="220" t="s">
        <v>426</v>
      </c>
      <c r="S27" s="221">
        <f>$C$2</f>
        <v>45897</v>
      </c>
      <c r="T27" s="215"/>
    </row>
    <row r="28" spans="2:25" ht="14.5" customHeight="1" x14ac:dyDescent="0.35">
      <c r="B28" s="166"/>
      <c r="C28" s="167"/>
      <c r="E28" s="166"/>
      <c r="F28" s="167"/>
      <c r="H28" s="166"/>
      <c r="I28" s="167"/>
      <c r="J28" s="258"/>
      <c r="K28" s="166"/>
      <c r="L28" s="167"/>
      <c r="M28" s="258"/>
      <c r="N28" s="166"/>
      <c r="O28" s="167"/>
      <c r="P28" s="73"/>
      <c r="Q28" s="215"/>
      <c r="R28" s="166"/>
      <c r="S28" s="167"/>
      <c r="T28" s="215"/>
    </row>
    <row r="29" spans="2:25" ht="14.5" customHeight="1" x14ac:dyDescent="0.35">
      <c r="B29" s="173" t="s">
        <v>427</v>
      </c>
      <c r="C29" s="74"/>
      <c r="E29" s="173" t="s">
        <v>427</v>
      </c>
      <c r="F29" s="74"/>
      <c r="H29" s="173" t="s">
        <v>427</v>
      </c>
      <c r="I29" s="74"/>
      <c r="J29" s="258"/>
      <c r="K29" s="173" t="s">
        <v>427</v>
      </c>
      <c r="L29" s="74"/>
      <c r="M29" s="258"/>
      <c r="N29" s="173" t="s">
        <v>427</v>
      </c>
      <c r="O29" s="74"/>
      <c r="P29" s="73"/>
      <c r="Q29" s="215"/>
      <c r="R29" s="173" t="s">
        <v>427</v>
      </c>
      <c r="S29" s="74"/>
      <c r="T29" s="215"/>
    </row>
    <row r="30" spans="2:25" s="170" customFormat="1" ht="14.5" customHeight="1" x14ac:dyDescent="0.35">
      <c r="B30" s="168" t="s">
        <v>410</v>
      </c>
      <c r="C30" s="473">
        <v>20</v>
      </c>
      <c r="E30" s="168" t="s">
        <v>410</v>
      </c>
      <c r="F30" s="473">
        <v>10</v>
      </c>
      <c r="H30" s="168" t="s">
        <v>410</v>
      </c>
      <c r="I30" s="209">
        <v>0</v>
      </c>
      <c r="J30" s="259"/>
      <c r="K30" s="168" t="s">
        <v>410</v>
      </c>
      <c r="L30" s="209">
        <v>0</v>
      </c>
      <c r="M30" s="259"/>
      <c r="N30" s="168" t="s">
        <v>410</v>
      </c>
      <c r="O30" s="209">
        <v>0</v>
      </c>
      <c r="P30" s="168"/>
      <c r="Q30" s="261"/>
      <c r="R30" s="168" t="s">
        <v>410</v>
      </c>
      <c r="S30" s="473" t="s">
        <v>411</v>
      </c>
      <c r="T30" s="261"/>
      <c r="U30"/>
      <c r="V30"/>
      <c r="W30"/>
      <c r="X30"/>
      <c r="Y30"/>
    </row>
    <row r="31" spans="2:25" ht="14.5" customHeight="1" x14ac:dyDescent="0.35">
      <c r="B31" s="73" t="s">
        <v>412</v>
      </c>
      <c r="C31" s="74">
        <v>251.56270000000001</v>
      </c>
      <c r="E31" s="73" t="s">
        <v>412</v>
      </c>
      <c r="F31" s="74">
        <v>106.06</v>
      </c>
      <c r="H31" s="73" t="s">
        <v>412</v>
      </c>
      <c r="I31" s="74" t="str">
        <f>IF(I30=0,"N/A","Enter basis")</f>
        <v>N/A</v>
      </c>
      <c r="J31" s="258"/>
      <c r="K31" s="73" t="s">
        <v>412</v>
      </c>
      <c r="L31" s="74" t="str">
        <f>IF(L30=0,"N/A","Enter basis")</f>
        <v>N/A</v>
      </c>
      <c r="M31" s="258"/>
      <c r="N31" s="73" t="s">
        <v>412</v>
      </c>
      <c r="O31" s="74" t="str">
        <f>IF(O30=0,"N/A","Enter basis")</f>
        <v>N/A</v>
      </c>
      <c r="P31" s="73"/>
      <c r="Q31" s="215"/>
      <c r="R31" s="73" t="s">
        <v>412</v>
      </c>
      <c r="S31" s="473" t="str">
        <f>IF(S30=0,"N/A","Enter basis")</f>
        <v>Enter basis</v>
      </c>
      <c r="T31" s="215"/>
    </row>
    <row r="32" spans="2:25" ht="14.5" customHeight="1" x14ac:dyDescent="0.35">
      <c r="B32" s="73"/>
      <c r="C32" s="74"/>
      <c r="E32" s="73"/>
      <c r="F32" s="74"/>
      <c r="H32" s="73"/>
      <c r="I32" s="74"/>
      <c r="J32" s="258"/>
      <c r="K32" s="73"/>
      <c r="L32" s="74"/>
      <c r="M32" s="258"/>
      <c r="N32" s="73"/>
      <c r="O32" s="74"/>
      <c r="P32" s="73"/>
      <c r="Q32" s="215"/>
      <c r="R32" s="73"/>
      <c r="S32" s="74"/>
      <c r="T32" s="215"/>
    </row>
    <row r="33" spans="2:25" ht="14.5" customHeight="1" x14ac:dyDescent="0.35">
      <c r="B33" s="174" t="s">
        <v>413</v>
      </c>
      <c r="C33" s="74"/>
      <c r="E33" s="174" t="s">
        <v>413</v>
      </c>
      <c r="F33" s="74"/>
      <c r="H33" s="174" t="s">
        <v>413</v>
      </c>
      <c r="I33" s="74"/>
      <c r="J33" s="258"/>
      <c r="K33" s="174" t="s">
        <v>413</v>
      </c>
      <c r="L33" s="74"/>
      <c r="M33" s="258"/>
      <c r="N33" s="174" t="s">
        <v>413</v>
      </c>
      <c r="O33" s="74"/>
      <c r="P33" s="73"/>
      <c r="Q33" s="215"/>
      <c r="R33" s="174" t="s">
        <v>413</v>
      </c>
      <c r="S33" s="74"/>
      <c r="T33" s="215"/>
    </row>
    <row r="34" spans="2:25" s="170" customFormat="1" ht="14.5" customHeight="1" x14ac:dyDescent="0.35">
      <c r="B34" s="168" t="s">
        <v>428</v>
      </c>
      <c r="C34" s="473">
        <v>40</v>
      </c>
      <c r="E34" s="168" t="s">
        <v>428</v>
      </c>
      <c r="F34" s="473">
        <v>80</v>
      </c>
      <c r="H34" s="168" t="s">
        <v>428</v>
      </c>
      <c r="I34" s="473">
        <v>54.720999999999997</v>
      </c>
      <c r="J34" s="259">
        <v>20.004000000000001</v>
      </c>
      <c r="K34" s="168" t="s">
        <v>428</v>
      </c>
      <c r="L34" s="473">
        <v>29.641999999999999</v>
      </c>
      <c r="M34" s="259"/>
      <c r="N34" s="168" t="s">
        <v>428</v>
      </c>
      <c r="O34" s="473">
        <v>63.152999999999999</v>
      </c>
      <c r="P34" s="168"/>
      <c r="Q34" s="261"/>
      <c r="R34" s="168" t="s">
        <v>428</v>
      </c>
      <c r="S34" s="473" t="s">
        <v>411</v>
      </c>
      <c r="T34" s="261"/>
    </row>
    <row r="35" spans="2:25" ht="14.5" customHeight="1" x14ac:dyDescent="0.35">
      <c r="B35" s="73" t="s">
        <v>415</v>
      </c>
      <c r="C35" s="74">
        <v>273.02550000000002</v>
      </c>
      <c r="E35" s="73" t="s">
        <v>415</v>
      </c>
      <c r="F35" s="74">
        <v>118.2435</v>
      </c>
      <c r="H35" s="73" t="s">
        <v>415</v>
      </c>
      <c r="I35" s="473">
        <v>300.38</v>
      </c>
      <c r="J35" s="258"/>
      <c r="K35" s="73" t="s">
        <v>415</v>
      </c>
      <c r="L35" s="473">
        <v>506.11399999999998</v>
      </c>
      <c r="M35" s="258"/>
      <c r="N35" s="73" t="s">
        <v>415</v>
      </c>
      <c r="O35" s="473">
        <v>237.52</v>
      </c>
      <c r="P35" s="73"/>
      <c r="Q35" s="215"/>
      <c r="R35" s="73" t="s">
        <v>415</v>
      </c>
      <c r="S35" s="473" t="str">
        <f>IF(S34=0,"N/A","Enter price")</f>
        <v>Enter price</v>
      </c>
      <c r="T35" s="215"/>
    </row>
    <row r="36" spans="2:25" ht="14.5" customHeight="1" x14ac:dyDescent="0.35">
      <c r="B36" s="73" t="s">
        <v>416</v>
      </c>
      <c r="C36" s="162">
        <f>C34*C35</f>
        <v>10921.02</v>
      </c>
      <c r="E36" s="73" t="s">
        <v>416</v>
      </c>
      <c r="F36" s="162">
        <f>F34*F35</f>
        <v>9459.48</v>
      </c>
      <c r="H36" s="73" t="s">
        <v>416</v>
      </c>
      <c r="I36" s="162">
        <f>I34*I35</f>
        <v>16437.093979999998</v>
      </c>
      <c r="J36" s="258"/>
      <c r="K36" s="73" t="s">
        <v>416</v>
      </c>
      <c r="L36" s="162">
        <f>L34*L35</f>
        <v>15002.231188</v>
      </c>
      <c r="M36" s="258"/>
      <c r="N36" s="73" t="s">
        <v>416</v>
      </c>
      <c r="O36" s="162">
        <f>O34*O35</f>
        <v>15000.100560000001</v>
      </c>
      <c r="P36" s="73"/>
      <c r="Q36" s="215"/>
      <c r="R36" s="73" t="s">
        <v>416</v>
      </c>
      <c r="S36" s="162" t="e">
        <f>S34*S35</f>
        <v>#VALUE!</v>
      </c>
      <c r="T36" s="215"/>
    </row>
    <row r="37" spans="2:25" ht="14.5" customHeight="1" x14ac:dyDescent="0.35">
      <c r="B37" s="73" t="s">
        <v>417</v>
      </c>
      <c r="C37" s="162">
        <v>0</v>
      </c>
      <c r="E37" s="73" t="s">
        <v>417</v>
      </c>
      <c r="F37" s="162">
        <v>0</v>
      </c>
      <c r="H37" s="73" t="s">
        <v>417</v>
      </c>
      <c r="I37" s="162">
        <v>0</v>
      </c>
      <c r="J37" s="258"/>
      <c r="K37" s="73" t="s">
        <v>417</v>
      </c>
      <c r="L37" s="162">
        <v>0</v>
      </c>
      <c r="M37" s="258"/>
      <c r="N37" s="73" t="s">
        <v>417</v>
      </c>
      <c r="O37" s="162">
        <v>0</v>
      </c>
      <c r="P37" s="73"/>
      <c r="Q37" s="215"/>
      <c r="R37" s="73" t="s">
        <v>417</v>
      </c>
      <c r="S37" s="162">
        <v>0</v>
      </c>
      <c r="T37" s="215"/>
    </row>
    <row r="38" spans="2:25" ht="14.5" customHeight="1" x14ac:dyDescent="0.35">
      <c r="B38" s="73" t="s">
        <v>429</v>
      </c>
      <c r="C38" s="162">
        <f>C36+C37</f>
        <v>10921.02</v>
      </c>
      <c r="E38" s="73" t="s">
        <v>429</v>
      </c>
      <c r="F38" s="162">
        <f>F36+F37</f>
        <v>9459.48</v>
      </c>
      <c r="H38" s="73" t="s">
        <v>429</v>
      </c>
      <c r="I38" s="162">
        <f>I36+I37</f>
        <v>16437.093979999998</v>
      </c>
      <c r="J38" s="258"/>
      <c r="K38" s="73" t="s">
        <v>429</v>
      </c>
      <c r="L38" s="162">
        <f>L36+L37</f>
        <v>15002.231188</v>
      </c>
      <c r="M38" s="258"/>
      <c r="N38" s="73" t="s">
        <v>429</v>
      </c>
      <c r="O38" s="162">
        <f>O36+O37</f>
        <v>15000.100560000001</v>
      </c>
      <c r="P38" s="73"/>
      <c r="Q38" s="215"/>
      <c r="R38" s="73" t="s">
        <v>429</v>
      </c>
      <c r="S38" s="162" t="e">
        <f>S36+S37</f>
        <v>#VALUE!</v>
      </c>
      <c r="T38" s="215"/>
    </row>
    <row r="39" spans="2:25" ht="14.5" customHeight="1" x14ac:dyDescent="0.35">
      <c r="B39" s="196"/>
      <c r="C39" s="204"/>
      <c r="E39" s="196"/>
      <c r="F39" s="204"/>
      <c r="H39" s="196"/>
      <c r="I39" s="204"/>
      <c r="J39" s="258"/>
      <c r="K39" s="196"/>
      <c r="L39" s="204"/>
      <c r="M39" s="258"/>
      <c r="N39" s="196"/>
      <c r="O39" s="204"/>
      <c r="P39" s="73"/>
      <c r="Q39" s="215"/>
      <c r="R39" s="196"/>
      <c r="S39" s="204"/>
      <c r="T39" s="215"/>
    </row>
    <row r="40" spans="2:25" ht="14.5" customHeight="1" x14ac:dyDescent="0.35">
      <c r="B40" s="174" t="s">
        <v>430</v>
      </c>
      <c r="C40" s="74"/>
      <c r="E40" s="174" t="s">
        <v>430</v>
      </c>
      <c r="F40" s="74"/>
      <c r="H40" s="174" t="s">
        <v>430</v>
      </c>
      <c r="I40" s="74"/>
      <c r="J40" s="258"/>
      <c r="K40" s="174" t="s">
        <v>430</v>
      </c>
      <c r="L40" s="74"/>
      <c r="M40" s="258"/>
      <c r="N40" s="174" t="s">
        <v>430</v>
      </c>
      <c r="O40" s="74"/>
      <c r="P40" s="73"/>
      <c r="Q40" s="215"/>
      <c r="R40" s="174" t="s">
        <v>430</v>
      </c>
      <c r="S40" s="74"/>
      <c r="T40" s="215"/>
    </row>
    <row r="41" spans="2:25" ht="14.5" customHeight="1" x14ac:dyDescent="0.35">
      <c r="B41" s="168" t="s">
        <v>431</v>
      </c>
      <c r="C41" s="161">
        <f>C27</f>
        <v>45897</v>
      </c>
      <c r="E41" s="168" t="s">
        <v>431</v>
      </c>
      <c r="F41" s="161">
        <f>F27</f>
        <v>45897</v>
      </c>
      <c r="H41" s="168" t="s">
        <v>431</v>
      </c>
      <c r="I41" s="161">
        <f>I27</f>
        <v>45897</v>
      </c>
      <c r="J41" s="258"/>
      <c r="K41" s="168" t="s">
        <v>431</v>
      </c>
      <c r="L41" s="161">
        <f>L27</f>
        <v>45897</v>
      </c>
      <c r="M41" s="258"/>
      <c r="N41" s="168" t="s">
        <v>431</v>
      </c>
      <c r="O41" s="161">
        <f>O27</f>
        <v>45897</v>
      </c>
      <c r="P41" s="73"/>
      <c r="Q41" s="215"/>
      <c r="R41" s="168" t="s">
        <v>431</v>
      </c>
      <c r="S41" s="161">
        <f>S27</f>
        <v>45897</v>
      </c>
      <c r="T41" s="215"/>
    </row>
    <row r="42" spans="2:25" s="170" customFormat="1" ht="14.5" customHeight="1" x14ac:dyDescent="0.35">
      <c r="B42" s="168" t="s">
        <v>432</v>
      </c>
      <c r="C42" s="473">
        <f>C30+C34</f>
        <v>60</v>
      </c>
      <c r="E42" s="168" t="s">
        <v>432</v>
      </c>
      <c r="F42" s="473">
        <f>F30+F34</f>
        <v>90</v>
      </c>
      <c r="H42" s="168" t="s">
        <v>432</v>
      </c>
      <c r="I42" s="169">
        <f>I30+I34</f>
        <v>54.720999999999997</v>
      </c>
      <c r="J42" s="259"/>
      <c r="K42" s="168" t="s">
        <v>432</v>
      </c>
      <c r="L42" s="169">
        <f>L30+L34</f>
        <v>29.641999999999999</v>
      </c>
      <c r="M42" s="259"/>
      <c r="N42" s="168" t="s">
        <v>432</v>
      </c>
      <c r="O42" s="169">
        <f>O30+O34</f>
        <v>63.152999999999999</v>
      </c>
      <c r="P42" s="168"/>
      <c r="Q42" s="261"/>
      <c r="R42" s="168" t="s">
        <v>432</v>
      </c>
      <c r="S42" s="473" t="e">
        <f>S30+S34</f>
        <v>#VALUE!</v>
      </c>
      <c r="T42" s="261"/>
      <c r="U42"/>
      <c r="V42"/>
      <c r="W42"/>
      <c r="X42"/>
      <c r="Y42"/>
    </row>
    <row r="43" spans="2:25" ht="14.5" customHeight="1" thickBot="1" x14ac:dyDescent="0.4">
      <c r="B43" s="75" t="s">
        <v>433</v>
      </c>
      <c r="C43" s="507">
        <v>265.87</v>
      </c>
      <c r="E43" s="75" t="s">
        <v>433</v>
      </c>
      <c r="F43" s="507">
        <v>116.89</v>
      </c>
      <c r="H43" s="75" t="s">
        <v>433</v>
      </c>
      <c r="I43" s="164">
        <f>IF(I30=0,I35,"Enter basis")</f>
        <v>300.38</v>
      </c>
      <c r="J43" s="258"/>
      <c r="K43" s="75" t="s">
        <v>433</v>
      </c>
      <c r="L43" s="164">
        <f>IF(L30=0,L35,"Enter basis")</f>
        <v>506.11399999999998</v>
      </c>
      <c r="M43" s="258"/>
      <c r="N43" s="75" t="s">
        <v>433</v>
      </c>
      <c r="O43" s="164">
        <f>IF(O30=0,O35,"Enter basis")</f>
        <v>237.52</v>
      </c>
      <c r="P43" s="73"/>
      <c r="Q43" s="215"/>
      <c r="R43" s="75" t="s">
        <v>433</v>
      </c>
      <c r="S43" s="507" t="str">
        <f>IF(S30=0,S35,"Enter basis")</f>
        <v>Enter basis</v>
      </c>
      <c r="T43" s="215"/>
    </row>
    <row r="44" spans="2:25" ht="9.65" customHeight="1" x14ac:dyDescent="0.35">
      <c r="C44" s="32"/>
      <c r="D44" s="32"/>
      <c r="F44" s="32"/>
      <c r="I44" s="32"/>
      <c r="L44" s="32"/>
      <c r="O44" s="32"/>
      <c r="Q44" s="215"/>
      <c r="R44" s="215"/>
      <c r="S44" s="216"/>
      <c r="T44" s="215"/>
    </row>
    <row r="45" spans="2:25" ht="14.5" customHeight="1" x14ac:dyDescent="0.35">
      <c r="C45" s="32"/>
      <c r="D45" s="32"/>
      <c r="F45" s="32"/>
      <c r="I45" s="32"/>
      <c r="L45" s="32"/>
      <c r="O45" s="32"/>
      <c r="S45" s="32"/>
    </row>
    <row r="46" spans="2:25" ht="14.5" customHeight="1" x14ac:dyDescent="0.35">
      <c r="C46" s="32"/>
      <c r="D46" s="32"/>
      <c r="F46" s="32"/>
      <c r="I46" s="32"/>
      <c r="L46" s="32"/>
      <c r="O46" s="32"/>
      <c r="S46" s="32"/>
    </row>
    <row r="47" spans="2:25" ht="14.5" customHeight="1" x14ac:dyDescent="0.35">
      <c r="C47" s="32"/>
      <c r="D47" s="32"/>
      <c r="F47" s="32"/>
      <c r="I47" s="32"/>
      <c r="L47" s="32"/>
      <c r="O47" s="32"/>
      <c r="S47" s="32"/>
    </row>
    <row r="48" spans="2:25" ht="14.5" customHeight="1" thickBot="1" x14ac:dyDescent="0.4">
      <c r="C48" s="32"/>
      <c r="D48" s="32"/>
      <c r="F48" s="32"/>
      <c r="I48" s="32"/>
      <c r="L48" s="32"/>
      <c r="O48" s="32"/>
      <c r="Q48" s="215"/>
      <c r="R48" s="587" t="s">
        <v>434</v>
      </c>
      <c r="S48" s="587"/>
      <c r="T48" s="215"/>
    </row>
    <row r="49" spans="2:20" ht="14.5" customHeight="1" x14ac:dyDescent="0.35">
      <c r="B49" s="219" t="s">
        <v>406</v>
      </c>
      <c r="C49" s="218" t="s">
        <v>407</v>
      </c>
      <c r="D49" s="32"/>
      <c r="E49" s="219" t="s">
        <v>406</v>
      </c>
      <c r="F49" s="218" t="s">
        <v>407</v>
      </c>
      <c r="H49" s="219" t="s">
        <v>406</v>
      </c>
      <c r="I49" s="218" t="s">
        <v>407</v>
      </c>
      <c r="K49" s="219" t="s">
        <v>406</v>
      </c>
      <c r="L49" s="218" t="s">
        <v>407</v>
      </c>
      <c r="N49" s="219" t="s">
        <v>406</v>
      </c>
      <c r="O49" s="218" t="s">
        <v>407</v>
      </c>
      <c r="Q49" s="215"/>
      <c r="R49" s="219" t="s">
        <v>406</v>
      </c>
      <c r="S49" s="218" t="s">
        <v>407</v>
      </c>
      <c r="T49" s="215"/>
    </row>
    <row r="50" spans="2:20" ht="14.5" customHeight="1" thickBot="1" x14ac:dyDescent="0.4">
      <c r="B50" s="220" t="s">
        <v>408</v>
      </c>
      <c r="C50" s="221">
        <f>$C$2</f>
        <v>45897</v>
      </c>
      <c r="D50" s="32"/>
      <c r="E50" s="220" t="s">
        <v>408</v>
      </c>
      <c r="F50" s="221">
        <f>$C$2</f>
        <v>45897</v>
      </c>
      <c r="H50" s="220" t="s">
        <v>408</v>
      </c>
      <c r="I50" s="221">
        <f>$C$2</f>
        <v>45897</v>
      </c>
      <c r="K50" s="220" t="s">
        <v>408</v>
      </c>
      <c r="L50" s="221">
        <f>$C$2</f>
        <v>45897</v>
      </c>
      <c r="N50" s="220" t="s">
        <v>408</v>
      </c>
      <c r="O50" s="221">
        <f>$C$2</f>
        <v>45897</v>
      </c>
      <c r="Q50" s="215"/>
      <c r="R50" s="220" t="s">
        <v>408</v>
      </c>
      <c r="S50" s="221">
        <f>$C$2</f>
        <v>45897</v>
      </c>
      <c r="T50" s="215"/>
    </row>
    <row r="51" spans="2:20" ht="14.5" customHeight="1" x14ac:dyDescent="0.35">
      <c r="B51" s="166"/>
      <c r="C51" s="167"/>
      <c r="D51" s="32"/>
      <c r="E51" s="166"/>
      <c r="F51" s="167"/>
      <c r="H51" s="166"/>
      <c r="I51" s="167"/>
      <c r="K51" s="166"/>
      <c r="L51" s="167"/>
      <c r="N51" s="166"/>
      <c r="O51" s="167"/>
      <c r="Q51" s="215"/>
      <c r="R51" s="166"/>
      <c r="S51" s="167"/>
      <c r="T51" s="215"/>
    </row>
    <row r="52" spans="2:20" ht="14.5" customHeight="1" x14ac:dyDescent="0.35">
      <c r="B52" s="173" t="s">
        <v>409</v>
      </c>
      <c r="C52" s="74"/>
      <c r="D52" s="32"/>
      <c r="E52" s="173" t="s">
        <v>409</v>
      </c>
      <c r="F52" s="74"/>
      <c r="H52" s="173" t="s">
        <v>409</v>
      </c>
      <c r="I52" s="74"/>
      <c r="K52" s="173" t="s">
        <v>409</v>
      </c>
      <c r="L52" s="74"/>
      <c r="N52" s="173" t="s">
        <v>409</v>
      </c>
      <c r="O52" s="74"/>
      <c r="Q52" s="215"/>
      <c r="R52" s="173" t="s">
        <v>409</v>
      </c>
      <c r="S52" s="74"/>
      <c r="T52" s="215"/>
    </row>
    <row r="53" spans="2:20" ht="14.5" customHeight="1" x14ac:dyDescent="0.35">
      <c r="B53" s="168" t="s">
        <v>410</v>
      </c>
      <c r="C53" s="209" t="s">
        <v>411</v>
      </c>
      <c r="D53" s="32"/>
      <c r="E53" s="168" t="s">
        <v>410</v>
      </c>
      <c r="F53" s="209" t="s">
        <v>411</v>
      </c>
      <c r="H53" s="168" t="s">
        <v>410</v>
      </c>
      <c r="I53" s="209" t="s">
        <v>411</v>
      </c>
      <c r="K53" s="168" t="s">
        <v>410</v>
      </c>
      <c r="L53" s="209" t="s">
        <v>411</v>
      </c>
      <c r="N53" s="168" t="s">
        <v>410</v>
      </c>
      <c r="O53" s="209" t="s">
        <v>411</v>
      </c>
      <c r="Q53" s="215"/>
      <c r="R53" s="168" t="s">
        <v>410</v>
      </c>
      <c r="S53" s="473" t="s">
        <v>411</v>
      </c>
      <c r="T53" s="215"/>
    </row>
    <row r="54" spans="2:20" ht="14.5" customHeight="1" x14ac:dyDescent="0.35">
      <c r="B54" s="73" t="s">
        <v>412</v>
      </c>
      <c r="C54" s="74" t="str">
        <f>IF(C53=0,"N/A","Enter basis")</f>
        <v>Enter basis</v>
      </c>
      <c r="D54" s="32"/>
      <c r="E54" s="73" t="s">
        <v>412</v>
      </c>
      <c r="F54" s="74" t="str">
        <f>IF(F53=0,"N/A","Enter basis")</f>
        <v>Enter basis</v>
      </c>
      <c r="H54" s="73" t="s">
        <v>412</v>
      </c>
      <c r="I54" s="74" t="str">
        <f>IF(I53=0,"N/A","Enter basis")</f>
        <v>Enter basis</v>
      </c>
      <c r="K54" s="73" t="s">
        <v>412</v>
      </c>
      <c r="L54" s="74" t="str">
        <f>IF(L53=0,"N/A","Enter basis")</f>
        <v>Enter basis</v>
      </c>
      <c r="N54" s="73" t="s">
        <v>412</v>
      </c>
      <c r="O54" s="74" t="str">
        <f>IF(O53=0,"N/A","Enter basis")</f>
        <v>Enter basis</v>
      </c>
      <c r="Q54" s="215"/>
      <c r="R54" s="73" t="s">
        <v>412</v>
      </c>
      <c r="S54" s="473" t="str">
        <f>IF(S53=0,"N/A","Enter basis")</f>
        <v>Enter basis</v>
      </c>
      <c r="T54" s="215"/>
    </row>
    <row r="55" spans="2:20" ht="14.5" customHeight="1" x14ac:dyDescent="0.35">
      <c r="B55" s="73"/>
      <c r="C55" s="74"/>
      <c r="D55" s="32"/>
      <c r="E55" s="73"/>
      <c r="F55" s="74"/>
      <c r="H55" s="73"/>
      <c r="I55" s="74"/>
      <c r="K55" s="73"/>
      <c r="L55" s="74"/>
      <c r="N55" s="73"/>
      <c r="O55" s="74"/>
      <c r="Q55" s="215"/>
      <c r="R55" s="73"/>
      <c r="S55" s="74"/>
      <c r="T55" s="215"/>
    </row>
    <row r="56" spans="2:20" ht="14.5" customHeight="1" x14ac:dyDescent="0.35">
      <c r="B56" s="174" t="s">
        <v>413</v>
      </c>
      <c r="C56" s="74"/>
      <c r="D56" s="32"/>
      <c r="E56" s="174" t="s">
        <v>413</v>
      </c>
      <c r="F56" s="74"/>
      <c r="H56" s="174" t="s">
        <v>413</v>
      </c>
      <c r="I56" s="74"/>
      <c r="K56" s="174" t="s">
        <v>413</v>
      </c>
      <c r="L56" s="74"/>
      <c r="N56" s="174" t="s">
        <v>413</v>
      </c>
      <c r="O56" s="74"/>
      <c r="Q56" s="215"/>
      <c r="R56" s="174" t="s">
        <v>413</v>
      </c>
      <c r="S56" s="74"/>
      <c r="T56" s="215"/>
    </row>
    <row r="57" spans="2:20" ht="14.5" customHeight="1" x14ac:dyDescent="0.35">
      <c r="B57" s="210" t="s">
        <v>414</v>
      </c>
      <c r="C57" s="209" t="s">
        <v>411</v>
      </c>
      <c r="D57" s="32"/>
      <c r="E57" s="210" t="s">
        <v>414</v>
      </c>
      <c r="F57" s="209" t="s">
        <v>411</v>
      </c>
      <c r="H57" s="210" t="s">
        <v>414</v>
      </c>
      <c r="I57" s="209" t="s">
        <v>411</v>
      </c>
      <c r="K57" s="210" t="s">
        <v>414</v>
      </c>
      <c r="L57" s="209" t="s">
        <v>411</v>
      </c>
      <c r="N57" s="210" t="s">
        <v>414</v>
      </c>
      <c r="O57" s="209" t="s">
        <v>411</v>
      </c>
      <c r="Q57" s="215"/>
      <c r="R57" s="210" t="s">
        <v>414</v>
      </c>
      <c r="S57" s="473" t="s">
        <v>411</v>
      </c>
      <c r="T57" s="215"/>
    </row>
    <row r="58" spans="2:20" ht="14.5" customHeight="1" x14ac:dyDescent="0.35">
      <c r="B58" s="73" t="s">
        <v>415</v>
      </c>
      <c r="C58" s="74" t="str">
        <f>IF(C57=0,"N/A","Enter price")</f>
        <v>Enter price</v>
      </c>
      <c r="D58" s="32"/>
      <c r="E58" s="73" t="s">
        <v>415</v>
      </c>
      <c r="F58" s="74" t="str">
        <f>IF(F57=0,"N/A","Enter price")</f>
        <v>Enter price</v>
      </c>
      <c r="H58" s="73" t="s">
        <v>415</v>
      </c>
      <c r="I58" s="74" t="str">
        <f>IF(I57=0,"N/A","Enter price")</f>
        <v>Enter price</v>
      </c>
      <c r="K58" s="73" t="s">
        <v>415</v>
      </c>
      <c r="L58" s="74" t="str">
        <f>IF(L57=0,"N/A","Enter price")</f>
        <v>Enter price</v>
      </c>
      <c r="N58" s="73" t="s">
        <v>415</v>
      </c>
      <c r="O58" s="74" t="str">
        <f>IF(O57=0,"N/A","Enter price")</f>
        <v>Enter price</v>
      </c>
      <c r="Q58" s="215"/>
      <c r="R58" s="73" t="s">
        <v>415</v>
      </c>
      <c r="S58" s="473" t="str">
        <f>IF(S57=0,"N/A","Enter price")</f>
        <v>Enter price</v>
      </c>
      <c r="T58" s="215"/>
    </row>
    <row r="59" spans="2:20" ht="14.5" customHeight="1" x14ac:dyDescent="0.35">
      <c r="B59" s="73" t="s">
        <v>416</v>
      </c>
      <c r="C59" s="162" t="e">
        <f>C57*C58</f>
        <v>#VALUE!</v>
      </c>
      <c r="D59" s="32"/>
      <c r="E59" s="73" t="s">
        <v>416</v>
      </c>
      <c r="F59" s="162" t="e">
        <f>F57*F58</f>
        <v>#VALUE!</v>
      </c>
      <c r="H59" s="73" t="s">
        <v>416</v>
      </c>
      <c r="I59" s="162" t="e">
        <f>I57*I58</f>
        <v>#VALUE!</v>
      </c>
      <c r="K59" s="73" t="s">
        <v>416</v>
      </c>
      <c r="L59" s="162" t="e">
        <f>L57*L58</f>
        <v>#VALUE!</v>
      </c>
      <c r="N59" s="73" t="s">
        <v>416</v>
      </c>
      <c r="O59" s="162" t="e">
        <f>O57*O58</f>
        <v>#VALUE!</v>
      </c>
      <c r="Q59" s="215"/>
      <c r="R59" s="73" t="s">
        <v>416</v>
      </c>
      <c r="S59" s="162" t="e">
        <f>S57*S58</f>
        <v>#VALUE!</v>
      </c>
      <c r="T59" s="215"/>
    </row>
    <row r="60" spans="2:20" ht="14.5" customHeight="1" x14ac:dyDescent="0.35">
      <c r="B60" s="73" t="s">
        <v>417</v>
      </c>
      <c r="C60" s="162">
        <v>0</v>
      </c>
      <c r="D60" s="32"/>
      <c r="E60" s="73" t="s">
        <v>417</v>
      </c>
      <c r="F60" s="162">
        <v>0</v>
      </c>
      <c r="H60" s="73" t="s">
        <v>417</v>
      </c>
      <c r="I60" s="162">
        <v>0</v>
      </c>
      <c r="K60" s="73" t="s">
        <v>417</v>
      </c>
      <c r="L60" s="162">
        <v>0</v>
      </c>
      <c r="N60" s="73" t="s">
        <v>417</v>
      </c>
      <c r="O60" s="162">
        <v>0</v>
      </c>
      <c r="Q60" s="215"/>
      <c r="R60" s="73" t="s">
        <v>417</v>
      </c>
      <c r="S60" s="162">
        <v>0</v>
      </c>
      <c r="T60" s="215"/>
    </row>
    <row r="61" spans="2:20" ht="14.5" customHeight="1" x14ac:dyDescent="0.35">
      <c r="B61" s="73" t="s">
        <v>418</v>
      </c>
      <c r="C61" s="162" t="e">
        <f>C59-C60</f>
        <v>#VALUE!</v>
      </c>
      <c r="D61" s="32"/>
      <c r="E61" s="73" t="s">
        <v>418</v>
      </c>
      <c r="F61" s="162" t="e">
        <f>F59-F60</f>
        <v>#VALUE!</v>
      </c>
      <c r="H61" s="73" t="s">
        <v>418</v>
      </c>
      <c r="I61" s="162" t="e">
        <f>I59-I60</f>
        <v>#VALUE!</v>
      </c>
      <c r="K61" s="73" t="s">
        <v>418</v>
      </c>
      <c r="L61" s="162" t="e">
        <f>L59-L60</f>
        <v>#VALUE!</v>
      </c>
      <c r="N61" s="73" t="s">
        <v>418</v>
      </c>
      <c r="O61" s="162" t="e">
        <f>O59-O60</f>
        <v>#VALUE!</v>
      </c>
      <c r="Q61" s="215"/>
      <c r="R61" s="73" t="s">
        <v>418</v>
      </c>
      <c r="S61" s="162" t="e">
        <f>S59-S60</f>
        <v>#VALUE!</v>
      </c>
      <c r="T61" s="215"/>
    </row>
    <row r="62" spans="2:20" ht="14.5" customHeight="1" x14ac:dyDescent="0.35">
      <c r="B62" s="73" t="s">
        <v>419</v>
      </c>
      <c r="C62" s="162" t="e">
        <f>C57*C54</f>
        <v>#VALUE!</v>
      </c>
      <c r="D62" s="32"/>
      <c r="E62" s="73" t="s">
        <v>419</v>
      </c>
      <c r="F62" s="162" t="e">
        <f>F57*F54</f>
        <v>#VALUE!</v>
      </c>
      <c r="H62" s="73" t="s">
        <v>419</v>
      </c>
      <c r="I62" s="162" t="e">
        <f>I57*I54</f>
        <v>#VALUE!</v>
      </c>
      <c r="K62" s="73" t="s">
        <v>419</v>
      </c>
      <c r="L62" s="162" t="e">
        <f>L57*L54</f>
        <v>#VALUE!</v>
      </c>
      <c r="N62" s="73" t="s">
        <v>419</v>
      </c>
      <c r="O62" s="162" t="e">
        <f>O57*O54</f>
        <v>#VALUE!</v>
      </c>
      <c r="Q62" s="215"/>
      <c r="R62" s="73" t="s">
        <v>419</v>
      </c>
      <c r="S62" s="162" t="e">
        <f>S57*S54</f>
        <v>#VALUE!</v>
      </c>
      <c r="T62" s="215"/>
    </row>
    <row r="63" spans="2:20" ht="14.5" customHeight="1" x14ac:dyDescent="0.35">
      <c r="B63" s="73" t="s">
        <v>420</v>
      </c>
      <c r="C63" s="163" t="e">
        <f>C61-C62</f>
        <v>#VALUE!</v>
      </c>
      <c r="D63" s="32"/>
      <c r="E63" s="73" t="s">
        <v>420</v>
      </c>
      <c r="F63" s="163" t="e">
        <f>F61-F62</f>
        <v>#VALUE!</v>
      </c>
      <c r="H63" s="73" t="s">
        <v>420</v>
      </c>
      <c r="I63" s="163" t="e">
        <f>I61-I62</f>
        <v>#VALUE!</v>
      </c>
      <c r="K63" s="73" t="s">
        <v>420</v>
      </c>
      <c r="L63" s="163" t="e">
        <f>L61-L62</f>
        <v>#VALUE!</v>
      </c>
      <c r="N63" s="73" t="s">
        <v>420</v>
      </c>
      <c r="O63" s="163" t="e">
        <f>O61-O62</f>
        <v>#VALUE!</v>
      </c>
      <c r="Q63" s="215"/>
      <c r="R63" s="73" t="s">
        <v>420</v>
      </c>
      <c r="S63" s="163" t="e">
        <f>S61-S62</f>
        <v>#VALUE!</v>
      </c>
      <c r="T63" s="215"/>
    </row>
    <row r="64" spans="2:20" ht="14.5" customHeight="1" x14ac:dyDescent="0.35">
      <c r="B64" s="196"/>
      <c r="C64" s="204"/>
      <c r="D64" s="32"/>
      <c r="E64" s="196"/>
      <c r="F64" s="204"/>
      <c r="H64" s="196"/>
      <c r="I64" s="204"/>
      <c r="K64" s="196"/>
      <c r="L64" s="204"/>
      <c r="N64" s="196"/>
      <c r="O64" s="204"/>
      <c r="Q64" s="215"/>
      <c r="R64" s="196"/>
      <c r="S64" s="204"/>
      <c r="T64" s="215"/>
    </row>
    <row r="65" spans="2:20" ht="14.5" customHeight="1" x14ac:dyDescent="0.35">
      <c r="B65" s="174" t="s">
        <v>421</v>
      </c>
      <c r="C65" s="74"/>
      <c r="D65" s="32"/>
      <c r="E65" s="174" t="s">
        <v>421</v>
      </c>
      <c r="F65" s="74"/>
      <c r="H65" s="174" t="s">
        <v>421</v>
      </c>
      <c r="I65" s="74"/>
      <c r="K65" s="174" t="s">
        <v>421</v>
      </c>
      <c r="L65" s="74"/>
      <c r="N65" s="174" t="s">
        <v>421</v>
      </c>
      <c r="O65" s="74"/>
      <c r="Q65" s="215"/>
      <c r="R65" s="174" t="s">
        <v>421</v>
      </c>
      <c r="S65" s="74"/>
      <c r="T65" s="215"/>
    </row>
    <row r="66" spans="2:20" ht="14.5" customHeight="1" x14ac:dyDescent="0.35">
      <c r="B66" s="73" t="s">
        <v>422</v>
      </c>
      <c r="C66" s="161">
        <f>C50</f>
        <v>45897</v>
      </c>
      <c r="D66" s="32"/>
      <c r="E66" s="73" t="s">
        <v>422</v>
      </c>
      <c r="F66" s="161">
        <f>F50</f>
        <v>45897</v>
      </c>
      <c r="H66" s="73" t="s">
        <v>422</v>
      </c>
      <c r="I66" s="161">
        <f>I50</f>
        <v>45897</v>
      </c>
      <c r="K66" s="73" t="s">
        <v>422</v>
      </c>
      <c r="L66" s="161">
        <f>L50</f>
        <v>45897</v>
      </c>
      <c r="N66" s="73" t="s">
        <v>422</v>
      </c>
      <c r="O66" s="161">
        <f>O50</f>
        <v>45897</v>
      </c>
      <c r="Q66" s="215"/>
      <c r="R66" s="73" t="s">
        <v>422</v>
      </c>
      <c r="S66" s="161">
        <f>S50</f>
        <v>45897</v>
      </c>
      <c r="T66" s="215"/>
    </row>
    <row r="67" spans="2:20" ht="14.5" customHeight="1" x14ac:dyDescent="0.35">
      <c r="B67" s="210" t="s">
        <v>423</v>
      </c>
      <c r="C67" s="209" t="e">
        <f>C53-C57</f>
        <v>#VALUE!</v>
      </c>
      <c r="D67" s="32"/>
      <c r="E67" s="210" t="s">
        <v>423</v>
      </c>
      <c r="F67" s="209" t="e">
        <f>F53-F57</f>
        <v>#VALUE!</v>
      </c>
      <c r="H67" s="210" t="s">
        <v>423</v>
      </c>
      <c r="I67" s="209" t="e">
        <f>I53-I57</f>
        <v>#VALUE!</v>
      </c>
      <c r="K67" s="210" t="s">
        <v>423</v>
      </c>
      <c r="L67" s="209" t="e">
        <f>L53-L57</f>
        <v>#VALUE!</v>
      </c>
      <c r="N67" s="210" t="s">
        <v>423</v>
      </c>
      <c r="O67" s="209" t="e">
        <f>O53-O57</f>
        <v>#VALUE!</v>
      </c>
      <c r="Q67" s="215"/>
      <c r="R67" s="210" t="s">
        <v>423</v>
      </c>
      <c r="S67" s="473" t="e">
        <f>S53-S57</f>
        <v>#VALUE!</v>
      </c>
      <c r="T67" s="215"/>
    </row>
    <row r="68" spans="2:20" ht="14.5" customHeight="1" thickBot="1" x14ac:dyDescent="0.4">
      <c r="B68" s="75" t="s">
        <v>424</v>
      </c>
      <c r="C68" s="164" t="e">
        <f>IF(C67=0,0,C54)</f>
        <v>#VALUE!</v>
      </c>
      <c r="D68" s="32"/>
      <c r="E68" s="75" t="s">
        <v>424</v>
      </c>
      <c r="F68" s="164" t="e">
        <f>IF(F67=0,0,F54)</f>
        <v>#VALUE!</v>
      </c>
      <c r="H68" s="75" t="s">
        <v>424</v>
      </c>
      <c r="I68" s="164" t="e">
        <f>IF(I67=0,0,I54)</f>
        <v>#VALUE!</v>
      </c>
      <c r="K68" s="75" t="s">
        <v>424</v>
      </c>
      <c r="L68" s="164" t="e">
        <f>IF(L67=0,0,L54)</f>
        <v>#VALUE!</v>
      </c>
      <c r="N68" s="75" t="s">
        <v>424</v>
      </c>
      <c r="O68" s="164" t="e">
        <f>IF(O67=0,0,O54)</f>
        <v>#VALUE!</v>
      </c>
      <c r="Q68" s="215"/>
      <c r="R68" s="75" t="s">
        <v>424</v>
      </c>
      <c r="S68" s="473" t="e">
        <f>IF(S67=0,0,S54)</f>
        <v>#VALUE!</v>
      </c>
      <c r="T68" s="215"/>
    </row>
    <row r="69" spans="2:20" ht="14.5" customHeight="1" thickBot="1" x14ac:dyDescent="0.4">
      <c r="D69" s="32"/>
      <c r="Q69" s="215"/>
      <c r="R69" s="263"/>
      <c r="S69" s="263"/>
      <c r="T69" s="215"/>
    </row>
    <row r="70" spans="2:20" ht="14.5" customHeight="1" x14ac:dyDescent="0.35">
      <c r="B70" s="219" t="s">
        <v>425</v>
      </c>
      <c r="C70" s="218" t="s">
        <v>50</v>
      </c>
      <c r="D70" s="32"/>
      <c r="E70" s="219" t="s">
        <v>425</v>
      </c>
      <c r="F70" s="218" t="s">
        <v>407</v>
      </c>
      <c r="H70" s="219" t="s">
        <v>425</v>
      </c>
      <c r="I70" s="218" t="s">
        <v>407</v>
      </c>
      <c r="K70" s="219" t="s">
        <v>425</v>
      </c>
      <c r="L70" s="218" t="s">
        <v>407</v>
      </c>
      <c r="N70" s="219" t="s">
        <v>425</v>
      </c>
      <c r="O70" s="218" t="s">
        <v>407</v>
      </c>
      <c r="Q70" s="215"/>
      <c r="R70" s="219" t="s">
        <v>425</v>
      </c>
      <c r="S70" s="218" t="s">
        <v>407</v>
      </c>
      <c r="T70" s="215"/>
    </row>
    <row r="71" spans="2:20" ht="14.5" customHeight="1" thickBot="1" x14ac:dyDescent="0.4">
      <c r="B71" s="220" t="s">
        <v>426</v>
      </c>
      <c r="C71" s="221">
        <f>$C2</f>
        <v>45897</v>
      </c>
      <c r="D71" s="32"/>
      <c r="E71" s="220" t="s">
        <v>426</v>
      </c>
      <c r="F71" s="221">
        <f>$C2</f>
        <v>45897</v>
      </c>
      <c r="H71" s="220" t="s">
        <v>426</v>
      </c>
      <c r="I71" s="221">
        <f>$C2</f>
        <v>45897</v>
      </c>
      <c r="K71" s="220" t="s">
        <v>426</v>
      </c>
      <c r="L71" s="221">
        <f>$C2</f>
        <v>45897</v>
      </c>
      <c r="N71" s="220" t="s">
        <v>426</v>
      </c>
      <c r="O71" s="221">
        <f>$C2</f>
        <v>45897</v>
      </c>
      <c r="Q71" s="215"/>
      <c r="R71" s="220" t="s">
        <v>426</v>
      </c>
      <c r="S71" s="221">
        <f>$C$2</f>
        <v>45897</v>
      </c>
      <c r="T71" s="215"/>
    </row>
    <row r="72" spans="2:20" ht="14.5" customHeight="1" x14ac:dyDescent="0.35">
      <c r="B72" s="166"/>
      <c r="C72" s="167"/>
      <c r="D72" s="32"/>
      <c r="E72" s="166"/>
      <c r="F72" s="167"/>
      <c r="H72" s="166"/>
      <c r="I72" s="167"/>
      <c r="K72" s="166"/>
      <c r="L72" s="167"/>
      <c r="N72" s="166"/>
      <c r="O72" s="167"/>
      <c r="Q72" s="215"/>
      <c r="R72" s="166"/>
      <c r="S72" s="167"/>
      <c r="T72" s="215"/>
    </row>
    <row r="73" spans="2:20" ht="14.5" customHeight="1" x14ac:dyDescent="0.35">
      <c r="B73" s="173" t="s">
        <v>427</v>
      </c>
      <c r="C73" s="74"/>
      <c r="D73" s="32"/>
      <c r="E73" s="173" t="s">
        <v>427</v>
      </c>
      <c r="F73" s="74"/>
      <c r="H73" s="173" t="s">
        <v>427</v>
      </c>
      <c r="I73" s="74"/>
      <c r="K73" s="173" t="s">
        <v>427</v>
      </c>
      <c r="L73" s="74"/>
      <c r="N73" s="173" t="s">
        <v>427</v>
      </c>
      <c r="O73" s="74"/>
      <c r="Q73" s="215"/>
      <c r="R73" s="173" t="s">
        <v>427</v>
      </c>
      <c r="S73" s="74"/>
      <c r="T73" s="215"/>
    </row>
    <row r="74" spans="2:20" ht="14.5" customHeight="1" x14ac:dyDescent="0.35">
      <c r="B74" s="168" t="s">
        <v>410</v>
      </c>
      <c r="C74" s="209">
        <v>0</v>
      </c>
      <c r="D74" s="32"/>
      <c r="E74" s="168" t="s">
        <v>410</v>
      </c>
      <c r="F74" s="209" t="s">
        <v>411</v>
      </c>
      <c r="H74" s="168" t="s">
        <v>410</v>
      </c>
      <c r="I74" s="209" t="s">
        <v>411</v>
      </c>
      <c r="K74" s="168" t="s">
        <v>410</v>
      </c>
      <c r="L74" s="209" t="s">
        <v>411</v>
      </c>
      <c r="N74" s="168" t="s">
        <v>410</v>
      </c>
      <c r="O74" s="209" t="s">
        <v>411</v>
      </c>
      <c r="Q74" s="215"/>
      <c r="R74" s="168" t="s">
        <v>410</v>
      </c>
      <c r="S74" s="473" t="s">
        <v>411</v>
      </c>
      <c r="T74" s="215"/>
    </row>
    <row r="75" spans="2:20" ht="14.5" customHeight="1" x14ac:dyDescent="0.35">
      <c r="B75" s="73" t="s">
        <v>412</v>
      </c>
      <c r="C75" s="74" t="str">
        <f>IF(C74=0,"N/A","Enter basis")</f>
        <v>N/A</v>
      </c>
      <c r="D75" s="32"/>
      <c r="E75" s="73" t="s">
        <v>412</v>
      </c>
      <c r="F75" s="74" t="str">
        <f>IF(F74=0,"N/A","Enter basis")</f>
        <v>Enter basis</v>
      </c>
      <c r="H75" s="73" t="s">
        <v>412</v>
      </c>
      <c r="I75" s="74" t="str">
        <f>IF(I74=0,"N/A","Enter basis")</f>
        <v>Enter basis</v>
      </c>
      <c r="K75" s="73" t="s">
        <v>412</v>
      </c>
      <c r="L75" s="74" t="str">
        <f>IF(L74=0,"N/A","Enter basis")</f>
        <v>Enter basis</v>
      </c>
      <c r="N75" s="73" t="s">
        <v>412</v>
      </c>
      <c r="O75" s="74" t="str">
        <f>IF(O74=0,"N/A","Enter basis")</f>
        <v>Enter basis</v>
      </c>
      <c r="Q75" s="215"/>
      <c r="R75" s="73" t="s">
        <v>412</v>
      </c>
      <c r="S75" s="473" t="str">
        <f>IF(S74=0,"N/A","Enter basis")</f>
        <v>Enter basis</v>
      </c>
      <c r="T75" s="215"/>
    </row>
    <row r="76" spans="2:20" ht="14.5" customHeight="1" x14ac:dyDescent="0.35">
      <c r="B76" s="73"/>
      <c r="C76" s="74"/>
      <c r="D76" s="32"/>
      <c r="E76" s="73"/>
      <c r="F76" s="74"/>
      <c r="H76" s="73"/>
      <c r="I76" s="74"/>
      <c r="K76" s="73"/>
      <c r="L76" s="74"/>
      <c r="N76" s="73"/>
      <c r="O76" s="74"/>
      <c r="Q76" s="215"/>
      <c r="R76" s="73"/>
      <c r="S76" s="74"/>
      <c r="T76" s="215"/>
    </row>
    <row r="77" spans="2:20" ht="14.5" customHeight="1" x14ac:dyDescent="0.35">
      <c r="B77" s="174" t="s">
        <v>413</v>
      </c>
      <c r="C77" s="74"/>
      <c r="D77" s="32"/>
      <c r="E77" s="174" t="s">
        <v>413</v>
      </c>
      <c r="F77" s="74"/>
      <c r="H77" s="174" t="s">
        <v>413</v>
      </c>
      <c r="I77" s="74"/>
      <c r="K77" s="174" t="s">
        <v>413</v>
      </c>
      <c r="L77" s="74"/>
      <c r="N77" s="174" t="s">
        <v>413</v>
      </c>
      <c r="O77" s="74"/>
      <c r="Q77" s="215"/>
      <c r="R77" s="174" t="s">
        <v>413</v>
      </c>
      <c r="S77" s="74"/>
      <c r="T77" s="215"/>
    </row>
    <row r="78" spans="2:20" ht="14.5" customHeight="1" x14ac:dyDescent="0.35">
      <c r="B78" s="168" t="s">
        <v>428</v>
      </c>
      <c r="C78" s="169">
        <v>40</v>
      </c>
      <c r="D78" s="32"/>
      <c r="E78" s="168" t="s">
        <v>428</v>
      </c>
      <c r="F78" s="169" t="s">
        <v>411</v>
      </c>
      <c r="H78" s="168" t="s">
        <v>428</v>
      </c>
      <c r="I78" s="169" t="s">
        <v>411</v>
      </c>
      <c r="K78" s="168" t="s">
        <v>428</v>
      </c>
      <c r="L78" s="169" t="s">
        <v>411</v>
      </c>
      <c r="N78" s="168" t="s">
        <v>428</v>
      </c>
      <c r="O78" s="169" t="s">
        <v>411</v>
      </c>
      <c r="Q78" s="215"/>
      <c r="R78" s="168" t="s">
        <v>428</v>
      </c>
      <c r="S78" s="473" t="s">
        <v>411</v>
      </c>
      <c r="T78" s="215"/>
    </row>
    <row r="79" spans="2:20" ht="14.5" customHeight="1" x14ac:dyDescent="0.35">
      <c r="B79" s="73" t="s">
        <v>415</v>
      </c>
      <c r="C79" s="74">
        <v>140.21250000000001</v>
      </c>
      <c r="D79" s="32"/>
      <c r="E79" s="73" t="s">
        <v>415</v>
      </c>
      <c r="F79" s="74" t="str">
        <f>IF(F78=0,"N/A","Enter price")</f>
        <v>Enter price</v>
      </c>
      <c r="H79" s="73" t="s">
        <v>415</v>
      </c>
      <c r="I79" s="74" t="str">
        <f>IF(I78=0,"N/A","Enter price")</f>
        <v>Enter price</v>
      </c>
      <c r="K79" s="73" t="s">
        <v>415</v>
      </c>
      <c r="L79" s="74" t="str">
        <f>IF(L78=0,"N/A","Enter price")</f>
        <v>Enter price</v>
      </c>
      <c r="N79" s="73" t="s">
        <v>415</v>
      </c>
      <c r="O79" s="74" t="str">
        <f>IF(O78=0,"N/A","Enter price")</f>
        <v>Enter price</v>
      </c>
      <c r="Q79" s="215"/>
      <c r="R79" s="73" t="s">
        <v>415</v>
      </c>
      <c r="S79" s="473" t="str">
        <f>IF(S78=0,"N/A","Enter price")</f>
        <v>Enter price</v>
      </c>
      <c r="T79" s="215"/>
    </row>
    <row r="80" spans="2:20" ht="14.5" customHeight="1" x14ac:dyDescent="0.35">
      <c r="B80" s="73" t="s">
        <v>416</v>
      </c>
      <c r="C80" s="162">
        <f>C78*C79</f>
        <v>5608.5</v>
      </c>
      <c r="D80" s="32"/>
      <c r="E80" s="73" t="s">
        <v>416</v>
      </c>
      <c r="F80" s="162" t="e">
        <f>F78*F79</f>
        <v>#VALUE!</v>
      </c>
      <c r="H80" s="73" t="s">
        <v>416</v>
      </c>
      <c r="I80" s="162" t="e">
        <f>I78*I79</f>
        <v>#VALUE!</v>
      </c>
      <c r="K80" s="73" t="s">
        <v>416</v>
      </c>
      <c r="L80" s="162" t="e">
        <f>L78*L79</f>
        <v>#VALUE!</v>
      </c>
      <c r="N80" s="73" t="s">
        <v>416</v>
      </c>
      <c r="O80" s="162" t="e">
        <f>O78*O79</f>
        <v>#VALUE!</v>
      </c>
      <c r="Q80" s="215"/>
      <c r="R80" s="73" t="s">
        <v>416</v>
      </c>
      <c r="S80" s="162" t="e">
        <f>S78*S79</f>
        <v>#VALUE!</v>
      </c>
      <c r="T80" s="215"/>
    </row>
    <row r="81" spans="2:20" ht="14.5" customHeight="1" x14ac:dyDescent="0.35">
      <c r="B81" s="73" t="s">
        <v>417</v>
      </c>
      <c r="C81" s="162">
        <v>0</v>
      </c>
      <c r="D81" s="32"/>
      <c r="E81" s="73" t="s">
        <v>417</v>
      </c>
      <c r="F81" s="162">
        <v>0</v>
      </c>
      <c r="H81" s="73" t="s">
        <v>417</v>
      </c>
      <c r="I81" s="162">
        <v>0</v>
      </c>
      <c r="K81" s="73" t="s">
        <v>417</v>
      </c>
      <c r="L81" s="162">
        <v>0</v>
      </c>
      <c r="N81" s="73" t="s">
        <v>417</v>
      </c>
      <c r="O81" s="162">
        <v>0</v>
      </c>
      <c r="Q81" s="215"/>
      <c r="R81" s="73" t="s">
        <v>417</v>
      </c>
      <c r="S81" s="162">
        <v>0</v>
      </c>
      <c r="T81" s="215"/>
    </row>
    <row r="82" spans="2:20" ht="14.5" customHeight="1" x14ac:dyDescent="0.35">
      <c r="B82" s="73" t="s">
        <v>429</v>
      </c>
      <c r="C82" s="162">
        <f>C80+C81</f>
        <v>5608.5</v>
      </c>
      <c r="D82" s="32"/>
      <c r="E82" s="73" t="s">
        <v>429</v>
      </c>
      <c r="F82" s="162" t="e">
        <f>F80+F81</f>
        <v>#VALUE!</v>
      </c>
      <c r="H82" s="73" t="s">
        <v>429</v>
      </c>
      <c r="I82" s="162" t="e">
        <f>I80+I81</f>
        <v>#VALUE!</v>
      </c>
      <c r="K82" s="73" t="s">
        <v>429</v>
      </c>
      <c r="L82" s="162" t="e">
        <f>L80+L81</f>
        <v>#VALUE!</v>
      </c>
      <c r="N82" s="73" t="s">
        <v>429</v>
      </c>
      <c r="O82" s="162" t="e">
        <f>O80+O81</f>
        <v>#VALUE!</v>
      </c>
      <c r="Q82" s="215"/>
      <c r="R82" s="73" t="s">
        <v>429</v>
      </c>
      <c r="S82" s="162" t="e">
        <f>S80+S81</f>
        <v>#VALUE!</v>
      </c>
      <c r="T82" s="215"/>
    </row>
    <row r="83" spans="2:20" ht="14.5" customHeight="1" x14ac:dyDescent="0.35">
      <c r="B83" s="196"/>
      <c r="C83" s="204"/>
      <c r="D83" s="32"/>
      <c r="E83" s="196"/>
      <c r="F83" s="204"/>
      <c r="H83" s="196"/>
      <c r="I83" s="204"/>
      <c r="K83" s="196"/>
      <c r="L83" s="204"/>
      <c r="N83" s="196"/>
      <c r="O83" s="204"/>
      <c r="Q83" s="215"/>
      <c r="R83" s="196"/>
      <c r="S83" s="204"/>
      <c r="T83" s="215"/>
    </row>
    <row r="84" spans="2:20" ht="14.5" customHeight="1" x14ac:dyDescent="0.35">
      <c r="B84" s="174" t="s">
        <v>430</v>
      </c>
      <c r="C84" s="74"/>
      <c r="D84" s="32"/>
      <c r="E84" s="174" t="s">
        <v>430</v>
      </c>
      <c r="F84" s="74"/>
      <c r="H84" s="174" t="s">
        <v>430</v>
      </c>
      <c r="I84" s="74"/>
      <c r="K84" s="174" t="s">
        <v>430</v>
      </c>
      <c r="L84" s="74"/>
      <c r="N84" s="174" t="s">
        <v>430</v>
      </c>
      <c r="O84" s="74"/>
      <c r="Q84" s="215"/>
      <c r="R84" s="174" t="s">
        <v>430</v>
      </c>
      <c r="S84" s="74"/>
      <c r="T84" s="215"/>
    </row>
    <row r="85" spans="2:20" ht="14.5" customHeight="1" x14ac:dyDescent="0.35">
      <c r="B85" s="168" t="s">
        <v>431</v>
      </c>
      <c r="C85" s="161">
        <f>C71</f>
        <v>45897</v>
      </c>
      <c r="D85" s="32"/>
      <c r="E85" s="168" t="s">
        <v>431</v>
      </c>
      <c r="F85" s="161">
        <f>F71</f>
        <v>45897</v>
      </c>
      <c r="H85" s="168" t="s">
        <v>431</v>
      </c>
      <c r="I85" s="161">
        <f>I71</f>
        <v>45897</v>
      </c>
      <c r="K85" s="168" t="s">
        <v>431</v>
      </c>
      <c r="L85" s="161">
        <f>L71</f>
        <v>45897</v>
      </c>
      <c r="N85" s="168" t="s">
        <v>431</v>
      </c>
      <c r="O85" s="161">
        <f>O71</f>
        <v>45897</v>
      </c>
      <c r="Q85" s="215"/>
      <c r="R85" s="168" t="s">
        <v>431</v>
      </c>
      <c r="S85" s="161">
        <f>S71</f>
        <v>45897</v>
      </c>
      <c r="T85" s="215"/>
    </row>
    <row r="86" spans="2:20" ht="14.5" customHeight="1" x14ac:dyDescent="0.35">
      <c r="B86" s="168" t="s">
        <v>432</v>
      </c>
      <c r="C86" s="169">
        <f>C74+C78</f>
        <v>40</v>
      </c>
      <c r="D86" s="32"/>
      <c r="E86" s="168" t="s">
        <v>432</v>
      </c>
      <c r="F86" s="169" t="e">
        <f>F74+F78</f>
        <v>#VALUE!</v>
      </c>
      <c r="H86" s="168" t="s">
        <v>432</v>
      </c>
      <c r="I86" s="169" t="e">
        <f>I74+I78</f>
        <v>#VALUE!</v>
      </c>
      <c r="K86" s="168" t="s">
        <v>432</v>
      </c>
      <c r="L86" s="169" t="e">
        <f>L74+L78</f>
        <v>#VALUE!</v>
      </c>
      <c r="N86" s="168" t="s">
        <v>432</v>
      </c>
      <c r="O86" s="169" t="e">
        <f>O74+O78</f>
        <v>#VALUE!</v>
      </c>
      <c r="Q86" s="215"/>
      <c r="R86" s="168" t="s">
        <v>432</v>
      </c>
      <c r="S86" s="473" t="e">
        <f>S74+S78</f>
        <v>#VALUE!</v>
      </c>
      <c r="T86" s="215"/>
    </row>
    <row r="87" spans="2:20" ht="14.5" customHeight="1" thickBot="1" x14ac:dyDescent="0.4">
      <c r="B87" s="75" t="s">
        <v>433</v>
      </c>
      <c r="C87" s="164">
        <f>IF(C74=0,C79,"Enter basis")</f>
        <v>140.21250000000001</v>
      </c>
      <c r="D87" s="32"/>
      <c r="E87" s="75" t="s">
        <v>433</v>
      </c>
      <c r="F87" s="164" t="str">
        <f>IF(F74=0,F79,"Enter basis")</f>
        <v>Enter basis</v>
      </c>
      <c r="H87" s="75" t="s">
        <v>433</v>
      </c>
      <c r="I87" s="164" t="str">
        <f>IF(I74=0,I79,"Enter basis")</f>
        <v>Enter basis</v>
      </c>
      <c r="K87" s="75" t="s">
        <v>433</v>
      </c>
      <c r="L87" s="164" t="str">
        <f>IF(L74=0,L79,"Enter basis")</f>
        <v>Enter basis</v>
      </c>
      <c r="N87" s="75" t="s">
        <v>433</v>
      </c>
      <c r="O87" s="164" t="str">
        <f>IF(O74=0,O79,"Enter basis")</f>
        <v>Enter basis</v>
      </c>
      <c r="Q87" s="215"/>
      <c r="R87" s="75" t="s">
        <v>433</v>
      </c>
      <c r="S87" s="473" t="str">
        <f>IF(S74=0,S79,"Enter basis")</f>
        <v>Enter basis</v>
      </c>
      <c r="T87" s="215"/>
    </row>
    <row r="88" spans="2:20" ht="9" customHeight="1" x14ac:dyDescent="0.35">
      <c r="C88" s="32"/>
      <c r="D88" s="32"/>
      <c r="F88" s="32"/>
      <c r="I88" s="32"/>
      <c r="L88" s="32"/>
      <c r="O88" s="32"/>
      <c r="Q88" s="215"/>
      <c r="R88" s="215"/>
      <c r="S88" s="216"/>
      <c r="T88" s="215"/>
    </row>
    <row r="89" spans="2:20" ht="14.5" customHeight="1" x14ac:dyDescent="0.35">
      <c r="C89" s="32"/>
      <c r="D89" s="32"/>
      <c r="F89" s="32"/>
      <c r="I89" s="32"/>
      <c r="L89" s="32"/>
      <c r="O89" s="32"/>
      <c r="S89" s="32"/>
    </row>
    <row r="90" spans="2:20" ht="14.5" customHeight="1" x14ac:dyDescent="0.35">
      <c r="C90" s="32"/>
      <c r="D90" s="32"/>
      <c r="F90" s="32"/>
      <c r="I90" s="32"/>
      <c r="L90" s="32"/>
      <c r="O90" s="32"/>
      <c r="S90" s="32"/>
    </row>
    <row r="91" spans="2:20" x14ac:dyDescent="0.35">
      <c r="C91" s="32"/>
      <c r="D91" s="32"/>
      <c r="F91" s="32"/>
      <c r="I91" s="32"/>
      <c r="L91" s="32"/>
      <c r="O91" s="32"/>
      <c r="S91" s="32"/>
    </row>
    <row r="92" spans="2:20" x14ac:dyDescent="0.35">
      <c r="C92" s="32"/>
      <c r="D92" s="32"/>
      <c r="F92" s="32"/>
      <c r="I92" s="32"/>
      <c r="L92" s="32"/>
      <c r="O92" s="32"/>
      <c r="S92" s="32"/>
    </row>
    <row r="93" spans="2:20" x14ac:dyDescent="0.35">
      <c r="C93" s="32"/>
      <c r="D93" s="32"/>
      <c r="F93" s="32"/>
      <c r="I93" s="32"/>
      <c r="L93" s="32"/>
      <c r="O93" s="32"/>
      <c r="S93" s="32"/>
    </row>
    <row r="94" spans="2:20" x14ac:dyDescent="0.35">
      <c r="C94" s="32"/>
      <c r="D94" s="32"/>
      <c r="F94" s="32"/>
      <c r="O94" s="32"/>
      <c r="S94" s="32"/>
    </row>
    <row r="95" spans="2:20" x14ac:dyDescent="0.35">
      <c r="C95" s="32"/>
      <c r="D95" s="32"/>
      <c r="F95" s="32"/>
      <c r="O95" s="32"/>
      <c r="S95" s="32"/>
    </row>
    <row r="96" spans="2:20" x14ac:dyDescent="0.35">
      <c r="C96" s="32"/>
      <c r="D96" s="32"/>
      <c r="F96" s="32"/>
      <c r="O96" s="32"/>
      <c r="S96" s="32"/>
    </row>
    <row r="97" spans="2:20" x14ac:dyDescent="0.35">
      <c r="C97" s="32"/>
      <c r="D97" s="32"/>
      <c r="F97" s="32"/>
      <c r="O97" s="32"/>
      <c r="S97" s="32"/>
    </row>
    <row r="98" spans="2:20" x14ac:dyDescent="0.35">
      <c r="C98" s="32"/>
      <c r="D98" s="32"/>
      <c r="F98" s="32"/>
      <c r="O98" s="32"/>
      <c r="S98" s="32"/>
    </row>
    <row r="99" spans="2:20" x14ac:dyDescent="0.35">
      <c r="C99" s="32"/>
      <c r="D99" s="32"/>
      <c r="F99" s="32"/>
      <c r="O99" s="32"/>
      <c r="Q99" s="215"/>
      <c r="R99" s="589" t="s">
        <v>435</v>
      </c>
      <c r="S99" s="589"/>
      <c r="T99" s="215"/>
    </row>
    <row r="100" spans="2:20" ht="6" customHeight="1" thickBot="1" x14ac:dyDescent="0.4">
      <c r="Q100" s="215"/>
      <c r="T100" s="215"/>
    </row>
    <row r="101" spans="2:20" ht="15.65" customHeight="1" x14ac:dyDescent="0.35">
      <c r="B101" s="72" t="s">
        <v>436</v>
      </c>
      <c r="C101" s="165" t="s">
        <v>437</v>
      </c>
      <c r="D101" s="32"/>
      <c r="Q101" s="215"/>
      <c r="R101" s="72" t="s">
        <v>436</v>
      </c>
      <c r="S101" s="165" t="s">
        <v>437</v>
      </c>
      <c r="T101" s="215"/>
    </row>
    <row r="102" spans="2:20" ht="15" thickBot="1" x14ac:dyDescent="0.4">
      <c r="B102" s="76" t="s">
        <v>438</v>
      </c>
      <c r="C102" s="161">
        <f>$C2</f>
        <v>45897</v>
      </c>
      <c r="D102" s="32"/>
      <c r="Q102" s="215"/>
      <c r="R102" s="76" t="s">
        <v>438</v>
      </c>
      <c r="S102" s="161">
        <f>$C2</f>
        <v>45897</v>
      </c>
      <c r="T102" s="215"/>
    </row>
    <row r="103" spans="2:20" x14ac:dyDescent="0.35">
      <c r="B103" s="166"/>
      <c r="C103" s="167"/>
      <c r="D103" s="32"/>
      <c r="Q103" s="215"/>
      <c r="R103" s="166"/>
      <c r="S103" s="167"/>
      <c r="T103" s="215"/>
    </row>
    <row r="104" spans="2:20" x14ac:dyDescent="0.35">
      <c r="B104" s="76" t="s">
        <v>439</v>
      </c>
      <c r="C104" s="161"/>
      <c r="Q104" s="215"/>
      <c r="R104" s="76" t="s">
        <v>439</v>
      </c>
      <c r="S104" s="161"/>
      <c r="T104" s="215"/>
    </row>
    <row r="105" spans="2:20" x14ac:dyDescent="0.35">
      <c r="B105" s="186" t="s">
        <v>440</v>
      </c>
      <c r="C105" s="187" t="s">
        <v>441</v>
      </c>
      <c r="Q105" s="215"/>
      <c r="R105" s="186" t="s">
        <v>440</v>
      </c>
      <c r="S105" s="187" t="s">
        <v>441</v>
      </c>
      <c r="T105" s="215"/>
    </row>
    <row r="106" spans="2:20" x14ac:dyDescent="0.35">
      <c r="B106" s="185"/>
      <c r="C106" s="161"/>
      <c r="Q106" s="215"/>
      <c r="R106" s="185"/>
      <c r="S106" s="161"/>
      <c r="T106" s="215"/>
    </row>
    <row r="107" spans="2:20" ht="15.5" x14ac:dyDescent="0.35">
      <c r="B107" s="173" t="s">
        <v>442</v>
      </c>
      <c r="C107" s="74"/>
      <c r="Q107" s="215"/>
      <c r="R107" s="173" t="s">
        <v>442</v>
      </c>
      <c r="S107" s="74"/>
      <c r="T107" s="215"/>
    </row>
    <row r="108" spans="2:20" x14ac:dyDescent="0.35">
      <c r="B108" s="168" t="s">
        <v>410</v>
      </c>
      <c r="C108" s="199" t="s">
        <v>411</v>
      </c>
      <c r="Q108" s="215"/>
      <c r="R108" s="168" t="s">
        <v>410</v>
      </c>
      <c r="S108" s="199" t="s">
        <v>411</v>
      </c>
      <c r="T108" s="215"/>
    </row>
    <row r="109" spans="2:20" x14ac:dyDescent="0.35">
      <c r="B109" s="73" t="s">
        <v>412</v>
      </c>
      <c r="C109" s="200" t="str">
        <f>IF(C108=0,"N/A","Enter basis")</f>
        <v>Enter basis</v>
      </c>
      <c r="Q109" s="215"/>
      <c r="R109" s="73" t="s">
        <v>412</v>
      </c>
      <c r="S109" s="200" t="str">
        <f>IF(S108=0,"N/A","Enter basis")</f>
        <v>Enter basis</v>
      </c>
      <c r="T109" s="215"/>
    </row>
    <row r="110" spans="2:20" x14ac:dyDescent="0.35">
      <c r="B110" s="73"/>
      <c r="C110" s="74"/>
      <c r="Q110" s="215"/>
      <c r="R110" s="73"/>
      <c r="S110" s="74"/>
      <c r="T110" s="215"/>
    </row>
    <row r="111" spans="2:20" ht="15.5" x14ac:dyDescent="0.35">
      <c r="B111" s="174" t="s">
        <v>413</v>
      </c>
      <c r="C111" s="74"/>
      <c r="Q111" s="215"/>
      <c r="R111" s="174" t="s">
        <v>413</v>
      </c>
      <c r="S111" s="74"/>
      <c r="T111" s="215"/>
    </row>
    <row r="112" spans="2:20" x14ac:dyDescent="0.35">
      <c r="B112" s="168" t="s">
        <v>443</v>
      </c>
      <c r="C112" s="199" t="s">
        <v>411</v>
      </c>
      <c r="Q112" s="215"/>
      <c r="R112" s="168" t="s">
        <v>443</v>
      </c>
      <c r="S112" s="199" t="s">
        <v>411</v>
      </c>
      <c r="T112" s="215"/>
    </row>
    <row r="113" spans="2:20" x14ac:dyDescent="0.35">
      <c r="B113" s="73" t="s">
        <v>415</v>
      </c>
      <c r="C113" s="200" t="str">
        <f>IF(C112=0,"N/A","Enter price")</f>
        <v>Enter price</v>
      </c>
      <c r="Q113" s="215"/>
      <c r="R113" s="73" t="s">
        <v>415</v>
      </c>
      <c r="S113" s="200" t="str">
        <f>IF(S112=0,"N/A","Enter price")</f>
        <v>Enter price</v>
      </c>
      <c r="T113" s="215"/>
    </row>
    <row r="114" spans="2:20" x14ac:dyDescent="0.35">
      <c r="B114" s="73" t="s">
        <v>416</v>
      </c>
      <c r="C114" s="162" t="e">
        <f>C112*C113</f>
        <v>#VALUE!</v>
      </c>
      <c r="Q114" s="215"/>
      <c r="R114" s="73" t="s">
        <v>416</v>
      </c>
      <c r="S114" s="162" t="e">
        <f>S112*S113</f>
        <v>#VALUE!</v>
      </c>
      <c r="T114" s="215"/>
    </row>
    <row r="115" spans="2:20" x14ac:dyDescent="0.35">
      <c r="B115" s="73" t="s">
        <v>417</v>
      </c>
      <c r="C115" s="162">
        <v>7.0000000000000007E-2</v>
      </c>
      <c r="Q115" s="215"/>
      <c r="R115" s="73" t="s">
        <v>417</v>
      </c>
      <c r="S115" s="162">
        <v>7.0000000000000007E-2</v>
      </c>
      <c r="T115" s="215"/>
    </row>
    <row r="116" spans="2:20" x14ac:dyDescent="0.35">
      <c r="B116" s="73" t="s">
        <v>419</v>
      </c>
      <c r="C116" s="162" t="e">
        <f>C112*C109</f>
        <v>#VALUE!</v>
      </c>
      <c r="Q116" s="215"/>
      <c r="R116" s="73" t="s">
        <v>419</v>
      </c>
      <c r="S116" s="162" t="e">
        <f>S112*S109</f>
        <v>#VALUE!</v>
      </c>
      <c r="T116" s="215"/>
    </row>
    <row r="117" spans="2:20" x14ac:dyDescent="0.35">
      <c r="B117" s="73"/>
      <c r="C117" s="74"/>
      <c r="Q117" s="215"/>
      <c r="R117" s="73"/>
      <c r="S117" s="74"/>
      <c r="T117" s="215"/>
    </row>
    <row r="118" spans="2:20" ht="15.5" x14ac:dyDescent="0.35">
      <c r="B118" s="174" t="s">
        <v>444</v>
      </c>
      <c r="C118" s="74"/>
      <c r="Q118" s="215"/>
      <c r="R118" s="174" t="s">
        <v>444</v>
      </c>
      <c r="S118" s="74"/>
      <c r="T118" s="215"/>
    </row>
    <row r="119" spans="2:20" x14ac:dyDescent="0.35">
      <c r="B119" s="168" t="s">
        <v>423</v>
      </c>
      <c r="C119" s="169" t="e">
        <f>C108-C112</f>
        <v>#VALUE!</v>
      </c>
      <c r="Q119" s="215"/>
      <c r="R119" s="168" t="s">
        <v>423</v>
      </c>
      <c r="S119" s="169" t="e">
        <f>S108-S112</f>
        <v>#VALUE!</v>
      </c>
      <c r="T119" s="215"/>
    </row>
    <row r="120" spans="2:20" ht="15" thickBot="1" x14ac:dyDescent="0.4">
      <c r="B120" s="75" t="s">
        <v>424</v>
      </c>
      <c r="C120" s="164" t="e">
        <f>IF(C119=0,0,C109)</f>
        <v>#VALUE!</v>
      </c>
      <c r="Q120" s="215"/>
      <c r="R120" s="75" t="s">
        <v>424</v>
      </c>
      <c r="S120" s="164" t="e">
        <f>IF(S119=0,0,S109)</f>
        <v>#VALUE!</v>
      </c>
      <c r="T120" s="215"/>
    </row>
    <row r="121" spans="2:20" x14ac:dyDescent="0.35">
      <c r="B121" s="197"/>
      <c r="C121" s="198"/>
      <c r="Q121" s="215"/>
      <c r="R121" s="197"/>
      <c r="S121" s="198"/>
      <c r="T121" s="215"/>
    </row>
    <row r="122" spans="2:20" x14ac:dyDescent="0.35">
      <c r="B122" s="190" t="s">
        <v>445</v>
      </c>
      <c r="C122" s="191"/>
      <c r="Q122" s="215"/>
      <c r="R122" s="190" t="s">
        <v>445</v>
      </c>
      <c r="S122" s="191"/>
      <c r="T122" s="215"/>
    </row>
    <row r="123" spans="2:20" ht="15" thickBot="1" x14ac:dyDescent="0.4">
      <c r="B123" s="194" t="s">
        <v>440</v>
      </c>
      <c r="C123" s="195" t="s">
        <v>441</v>
      </c>
      <c r="Q123" s="215"/>
      <c r="R123" s="194" t="s">
        <v>440</v>
      </c>
      <c r="S123" s="195" t="s">
        <v>441</v>
      </c>
      <c r="T123" s="215"/>
    </row>
    <row r="124" spans="2:20" ht="7.5" customHeight="1" thickBot="1" x14ac:dyDescent="0.4">
      <c r="B124" s="192"/>
      <c r="C124" s="193"/>
      <c r="Q124" s="215"/>
      <c r="R124" s="192"/>
      <c r="S124" s="193"/>
      <c r="T124" s="215"/>
    </row>
    <row r="125" spans="2:20" ht="14.5" customHeight="1" x14ac:dyDescent="0.35">
      <c r="B125" s="72" t="s">
        <v>436</v>
      </c>
      <c r="C125" s="188" t="str">
        <f>C101</f>
        <v>Enter smbl</v>
      </c>
      <c r="Q125" s="215"/>
      <c r="R125" s="72" t="s">
        <v>436</v>
      </c>
      <c r="S125" s="188" t="str">
        <f>S101</f>
        <v>Enter smbl</v>
      </c>
      <c r="T125" s="215"/>
    </row>
    <row r="126" spans="2:20" x14ac:dyDescent="0.35">
      <c r="B126" s="76" t="s">
        <v>438</v>
      </c>
      <c r="C126" s="189">
        <f>C102</f>
        <v>45897</v>
      </c>
      <c r="Q126" s="215"/>
      <c r="R126" s="76" t="s">
        <v>438</v>
      </c>
      <c r="S126" s="189">
        <f>S102</f>
        <v>45897</v>
      </c>
      <c r="T126" s="215"/>
    </row>
    <row r="127" spans="2:20" x14ac:dyDescent="0.35">
      <c r="B127" s="185"/>
      <c r="C127" s="161"/>
      <c r="Q127" s="215"/>
      <c r="R127" s="185"/>
      <c r="S127" s="161"/>
      <c r="T127" s="215"/>
    </row>
    <row r="128" spans="2:20" x14ac:dyDescent="0.35">
      <c r="B128" s="76" t="s">
        <v>446</v>
      </c>
      <c r="C128" s="161"/>
      <c r="Q128" s="215"/>
      <c r="R128" s="76" t="s">
        <v>446</v>
      </c>
      <c r="S128" s="161"/>
      <c r="T128" s="215"/>
    </row>
    <row r="129" spans="2:20" x14ac:dyDescent="0.35">
      <c r="B129" s="185" t="str">
        <f>B123</f>
        <v>Enter Account name</v>
      </c>
      <c r="C129" s="203" t="str">
        <f>C123</f>
        <v>Acct #</v>
      </c>
      <c r="Q129" s="215"/>
      <c r="R129" s="185" t="str">
        <f>R123</f>
        <v>Enter Account name</v>
      </c>
      <c r="S129" s="203" t="str">
        <f>S123</f>
        <v>Acct #</v>
      </c>
      <c r="T129" s="215"/>
    </row>
    <row r="130" spans="2:20" x14ac:dyDescent="0.35">
      <c r="B130" s="185"/>
      <c r="C130" s="161"/>
      <c r="Q130" s="215"/>
      <c r="R130" s="185"/>
      <c r="S130" s="161"/>
      <c r="T130" s="215"/>
    </row>
    <row r="131" spans="2:20" ht="15.5" x14ac:dyDescent="0.35">
      <c r="B131" s="173" t="s">
        <v>442</v>
      </c>
      <c r="C131" s="74"/>
      <c r="Q131" s="215"/>
      <c r="R131" s="173" t="s">
        <v>442</v>
      </c>
      <c r="S131" s="74"/>
      <c r="T131" s="215"/>
    </row>
    <row r="132" spans="2:20" x14ac:dyDescent="0.35">
      <c r="B132" s="168" t="s">
        <v>410</v>
      </c>
      <c r="C132" s="199" t="s">
        <v>411</v>
      </c>
      <c r="Q132" s="215"/>
      <c r="R132" s="168" t="s">
        <v>410</v>
      </c>
      <c r="S132" s="199" t="s">
        <v>411</v>
      </c>
      <c r="T132" s="215"/>
    </row>
    <row r="133" spans="2:20" x14ac:dyDescent="0.35">
      <c r="B133" s="73" t="s">
        <v>412</v>
      </c>
      <c r="C133" s="200" t="str">
        <f>IF(C132=0,"N/A","Enter basis")</f>
        <v>Enter basis</v>
      </c>
      <c r="Q133" s="215"/>
      <c r="R133" s="73" t="s">
        <v>412</v>
      </c>
      <c r="S133" s="200" t="str">
        <f>IF(S132=0,"N/A","Enter basis")</f>
        <v>Enter basis</v>
      </c>
      <c r="T133" s="215"/>
    </row>
    <row r="134" spans="2:20" x14ac:dyDescent="0.35">
      <c r="B134" s="73"/>
      <c r="C134" s="74"/>
      <c r="Q134" s="215"/>
      <c r="R134" s="73"/>
      <c r="S134" s="74"/>
      <c r="T134" s="215"/>
    </row>
    <row r="135" spans="2:20" ht="15.5" x14ac:dyDescent="0.35">
      <c r="B135" s="174" t="s">
        <v>413</v>
      </c>
      <c r="C135" s="74"/>
      <c r="Q135" s="215"/>
      <c r="R135" s="174" t="s">
        <v>413</v>
      </c>
      <c r="S135" s="74"/>
      <c r="T135" s="215"/>
    </row>
    <row r="136" spans="2:20" x14ac:dyDescent="0.35">
      <c r="B136" s="168" t="s">
        <v>443</v>
      </c>
      <c r="C136" s="169" t="str">
        <f>C112</f>
        <v>Enter #</v>
      </c>
      <c r="Q136" s="215"/>
      <c r="R136" s="168" t="s">
        <v>443</v>
      </c>
      <c r="S136" s="169" t="str">
        <f>S112</f>
        <v>Enter #</v>
      </c>
      <c r="T136" s="215"/>
    </row>
    <row r="137" spans="2:20" x14ac:dyDescent="0.35">
      <c r="B137" s="73" t="s">
        <v>415</v>
      </c>
      <c r="C137" s="74" t="str">
        <f>IF(C136=0,"N/A","Enter price")</f>
        <v>Enter price</v>
      </c>
      <c r="Q137" s="215"/>
      <c r="R137" s="73" t="s">
        <v>415</v>
      </c>
      <c r="S137" s="74" t="str">
        <f>IF(S136=0,"N/A","Enter price")</f>
        <v>Enter price</v>
      </c>
      <c r="T137" s="215"/>
    </row>
    <row r="138" spans="2:20" x14ac:dyDescent="0.35">
      <c r="B138" s="73" t="s">
        <v>416</v>
      </c>
      <c r="C138" s="162" t="e">
        <f>C136*C137</f>
        <v>#VALUE!</v>
      </c>
      <c r="Q138" s="215"/>
      <c r="R138" s="73" t="s">
        <v>416</v>
      </c>
      <c r="S138" s="162" t="e">
        <f>S136*S137</f>
        <v>#VALUE!</v>
      </c>
      <c r="T138" s="215"/>
    </row>
    <row r="139" spans="2:20" x14ac:dyDescent="0.35">
      <c r="B139" s="73" t="s">
        <v>417</v>
      </c>
      <c r="C139" s="162">
        <v>0</v>
      </c>
      <c r="Q139" s="215"/>
      <c r="R139" s="73" t="s">
        <v>417</v>
      </c>
      <c r="S139" s="162">
        <v>0</v>
      </c>
      <c r="T139" s="215"/>
    </row>
    <row r="140" spans="2:20" x14ac:dyDescent="0.35">
      <c r="B140" s="73" t="s">
        <v>429</v>
      </c>
      <c r="C140" s="162" t="e">
        <f>C138+C139</f>
        <v>#VALUE!</v>
      </c>
      <c r="Q140" s="215"/>
      <c r="R140" s="73" t="s">
        <v>429</v>
      </c>
      <c r="S140" s="162" t="e">
        <f>S138+S139</f>
        <v>#VALUE!</v>
      </c>
      <c r="T140" s="215"/>
    </row>
    <row r="141" spans="2:20" x14ac:dyDescent="0.35">
      <c r="B141" s="73"/>
      <c r="C141" s="74"/>
      <c r="Q141" s="215"/>
      <c r="R141" s="73"/>
      <c r="S141" s="74"/>
      <c r="T141" s="215"/>
    </row>
    <row r="142" spans="2:20" ht="15.5" x14ac:dyDescent="0.35">
      <c r="B142" s="174" t="s">
        <v>444</v>
      </c>
      <c r="C142" s="74"/>
      <c r="D142" s="32"/>
      <c r="Q142" s="215"/>
      <c r="R142" s="174" t="s">
        <v>444</v>
      </c>
      <c r="S142" s="74"/>
      <c r="T142" s="215"/>
    </row>
    <row r="143" spans="2:20" x14ac:dyDescent="0.35">
      <c r="B143" s="168" t="s">
        <v>432</v>
      </c>
      <c r="C143" s="169" t="e">
        <f>C132+C136</f>
        <v>#VALUE!</v>
      </c>
      <c r="D143" s="32"/>
      <c r="Q143" s="215"/>
      <c r="R143" s="168" t="s">
        <v>432</v>
      </c>
      <c r="S143" s="169" t="e">
        <f>S132+S136</f>
        <v>#VALUE!</v>
      </c>
      <c r="T143" s="215"/>
    </row>
    <row r="144" spans="2:20" x14ac:dyDescent="0.35">
      <c r="B144" s="196" t="s">
        <v>433</v>
      </c>
      <c r="C144" s="205" t="str">
        <f>IF(C132=0,C137,"Enter basis")</f>
        <v>Enter basis</v>
      </c>
      <c r="D144" s="32"/>
      <c r="Q144" s="215"/>
      <c r="R144" s="196" t="s">
        <v>433</v>
      </c>
      <c r="S144" s="205" t="str">
        <f>IF(S132=0,S137,"Enter basis")</f>
        <v>Enter basis</v>
      </c>
      <c r="T144" s="215"/>
    </row>
    <row r="145" spans="2:20" x14ac:dyDescent="0.35">
      <c r="B145" s="197"/>
      <c r="C145" s="198"/>
      <c r="D145" s="32"/>
      <c r="Q145" s="215"/>
      <c r="R145" s="197"/>
      <c r="S145" s="198"/>
      <c r="T145" s="215"/>
    </row>
    <row r="146" spans="2:20" x14ac:dyDescent="0.35">
      <c r="B146" s="190" t="s">
        <v>447</v>
      </c>
      <c r="C146" s="191"/>
      <c r="D146" s="32"/>
      <c r="Q146" s="215"/>
      <c r="R146" s="190" t="s">
        <v>447</v>
      </c>
      <c r="S146" s="191"/>
      <c r="T146" s="215"/>
    </row>
    <row r="147" spans="2:20" ht="15" thickBot="1" x14ac:dyDescent="0.4">
      <c r="B147" s="201" t="str">
        <f>B105</f>
        <v>Enter Account name</v>
      </c>
      <c r="C147" s="202" t="str">
        <f>C105</f>
        <v>Acct #</v>
      </c>
      <c r="D147" s="32"/>
      <c r="Q147" s="215"/>
      <c r="R147" s="201" t="str">
        <f>R105</f>
        <v>Enter Account name</v>
      </c>
      <c r="S147" s="202" t="str">
        <f>S105</f>
        <v>Acct #</v>
      </c>
      <c r="T147" s="215"/>
    </row>
    <row r="148" spans="2:20" x14ac:dyDescent="0.35">
      <c r="D148" s="32"/>
      <c r="Q148" s="215"/>
      <c r="R148" s="215"/>
      <c r="S148" s="215"/>
      <c r="T148" s="215"/>
    </row>
  </sheetData>
  <mergeCells count="4">
    <mergeCell ref="X2:Y2"/>
    <mergeCell ref="R48:S48"/>
    <mergeCell ref="R2:S4"/>
    <mergeCell ref="R99:S99"/>
  </mergeCells>
  <conditionalFormatting sqref="C87">
    <cfRule type="expression" dxfId="58" priority="18">
      <formula>AND(C$30&lt;&gt;"Enter #",C$43="Enter basis")</formula>
    </cfRule>
    <cfRule type="expression" dxfId="57" priority="19">
      <formula>AND(C$74&lt;&gt;"Enter #",C$87="Enter basis")</formula>
    </cfRule>
  </conditionalFormatting>
  <conditionalFormatting sqref="C144">
    <cfRule type="expression" dxfId="56" priority="190">
      <formula>AND(C$30&lt;&gt;"Enter #",C$43="Enter basis")</formula>
    </cfRule>
  </conditionalFormatting>
  <conditionalFormatting sqref="F87">
    <cfRule type="expression" dxfId="55" priority="16">
      <formula>AND(F$30&lt;&gt;"Enter #",F$43="Enter basis")</formula>
    </cfRule>
    <cfRule type="expression" dxfId="54" priority="17">
      <formula>AND(F$74&lt;&gt;"Enter #",F$87="Enter basis")</formula>
    </cfRule>
  </conditionalFormatting>
  <conditionalFormatting sqref="I43">
    <cfRule type="expression" dxfId="53" priority="7">
      <formula>AND(I$30&lt;&gt;"Enter #",I$43="Enter basis")</formula>
    </cfRule>
    <cfRule type="expression" dxfId="52" priority="8">
      <formula>AND(I$74&lt;&gt;"Enter #",I$87="Enter basis")</formula>
    </cfRule>
  </conditionalFormatting>
  <conditionalFormatting sqref="I87 L87 O87">
    <cfRule type="expression" dxfId="51" priority="200">
      <formula>AND(I$74&lt;&gt;"Enter #",I$87="Enter basis")</formula>
    </cfRule>
  </conditionalFormatting>
  <conditionalFormatting sqref="I87">
    <cfRule type="expression" dxfId="50" priority="15">
      <formula>AND(I$30&lt;&gt;"Enter #",I$43="Enter basis")</formula>
    </cfRule>
  </conditionalFormatting>
  <conditionalFormatting sqref="L43">
    <cfRule type="expression" dxfId="49" priority="9">
      <formula>AND(L$30&lt;&gt;"Enter #",L$43="Enter basis")</formula>
    </cfRule>
    <cfRule type="expression" dxfId="48" priority="10">
      <formula>AND(L$74&lt;&gt;"Enter #",L$87="Enter basis")</formula>
    </cfRule>
  </conditionalFormatting>
  <conditionalFormatting sqref="L87">
    <cfRule type="expression" dxfId="47" priority="14">
      <formula>AND(L$30&lt;&gt;"Enter #",L$43="Enter basis")</formula>
    </cfRule>
  </conditionalFormatting>
  <conditionalFormatting sqref="O43">
    <cfRule type="expression" dxfId="46" priority="11">
      <formula>AND(O$30&lt;&gt;"Enter #",O$43="Enter basis")</formula>
    </cfRule>
    <cfRule type="expression" dxfId="45" priority="12">
      <formula>AND(O$74&lt;&gt;"Enter #",O$87="Enter basis")</formula>
    </cfRule>
  </conditionalFormatting>
  <conditionalFormatting sqref="O87">
    <cfRule type="expression" dxfId="44" priority="13">
      <formula>AND(O$30&lt;&gt;"Enter #",O$43="Enter basis")</formula>
    </cfRule>
  </conditionalFormatting>
  <conditionalFormatting sqref="S144">
    <cfRule type="expression" dxfId="43" priority="199">
      <formula>AND(S$30&lt;&gt;"Enter #",S$43="Enter basis")</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7D9CAA-275B-48BF-B074-01F75930FECE}">
  <dimension ref="A1:AR71"/>
  <sheetViews>
    <sheetView zoomScale="75" zoomScaleNormal="75" workbookViewId="0">
      <pane xSplit="7" ySplit="8" topLeftCell="W11" activePane="bottomRight" state="frozen"/>
      <selection pane="topRight" activeCell="H1" sqref="H1"/>
      <selection pane="bottomLeft" activeCell="A9" sqref="A9"/>
      <selection pane="bottomRight" activeCell="AH22" sqref="AH22"/>
    </sheetView>
  </sheetViews>
  <sheetFormatPr defaultRowHeight="14.5" x14ac:dyDescent="0.35"/>
  <cols>
    <col min="1" max="1" width="14.1796875" customWidth="1"/>
    <col min="2" max="2" width="8.7265625" bestFit="1" customWidth="1"/>
    <col min="3" max="3" width="8.1796875" bestFit="1" customWidth="1"/>
    <col min="4" max="4" width="8.1796875" customWidth="1"/>
    <col min="5" max="5" width="40.453125" customWidth="1"/>
    <col min="6" max="6" width="20.7265625" customWidth="1"/>
    <col min="7" max="7" width="25.26953125" customWidth="1"/>
    <col min="8" max="8" width="4.453125" customWidth="1"/>
    <col min="11" max="14" width="8.1796875" style="313" bestFit="1" customWidth="1"/>
    <col min="24" max="24" width="13.453125" bestFit="1" customWidth="1"/>
    <col min="25" max="27" width="1.7265625" customWidth="1"/>
    <col min="29" max="29" width="33.453125" customWidth="1"/>
    <col min="30" max="30" width="9.1796875" bestFit="1" customWidth="1"/>
    <col min="31" max="31" width="11.54296875" style="217" customWidth="1"/>
    <col min="32" max="32" width="9.54296875" style="313" bestFit="1" customWidth="1"/>
    <col min="34" max="34" width="10" customWidth="1"/>
    <col min="45" max="45" width="10.81640625" customWidth="1"/>
  </cols>
  <sheetData>
    <row r="1" spans="1:44" ht="30" customHeight="1" x14ac:dyDescent="0.35">
      <c r="X1" s="441"/>
      <c r="AD1" s="441"/>
      <c r="AE1" s="442"/>
      <c r="AF1" s="458"/>
    </row>
    <row r="2" spans="1:44" ht="21" x14ac:dyDescent="0.35">
      <c r="A2" s="596" t="s">
        <v>448</v>
      </c>
      <c r="B2" s="596"/>
      <c r="C2" s="596"/>
      <c r="D2" s="596"/>
      <c r="E2" s="596"/>
      <c r="F2" s="596"/>
      <c r="G2" s="596"/>
      <c r="H2" s="596"/>
      <c r="I2" s="596"/>
      <c r="J2" s="596"/>
      <c r="K2" s="596"/>
      <c r="L2" s="596"/>
      <c r="M2" s="596"/>
      <c r="N2" s="596"/>
      <c r="O2" s="596"/>
      <c r="P2" s="596"/>
      <c r="Q2" s="596"/>
      <c r="R2" s="596"/>
      <c r="S2" s="596"/>
      <c r="T2" s="596"/>
      <c r="U2" s="596"/>
      <c r="V2" s="596"/>
      <c r="W2" s="597"/>
      <c r="X2" s="598" t="s">
        <v>449</v>
      </c>
      <c r="Y2" s="599"/>
      <c r="Z2" s="599"/>
      <c r="AA2" s="599"/>
      <c r="AB2" s="599"/>
      <c r="AC2" s="599"/>
      <c r="AD2" s="599"/>
      <c r="AE2" s="599"/>
      <c r="AF2" s="599"/>
      <c r="AG2" s="599"/>
      <c r="AH2" s="599"/>
      <c r="AI2" s="599"/>
      <c r="AJ2" s="599"/>
      <c r="AK2" s="599"/>
      <c r="AL2" s="599"/>
      <c r="AM2" s="599"/>
      <c r="AN2" s="599"/>
      <c r="AO2" s="599"/>
      <c r="AP2" s="599"/>
      <c r="AQ2" s="599"/>
      <c r="AR2" s="310"/>
    </row>
    <row r="3" spans="1:44" x14ac:dyDescent="0.35">
      <c r="A3" s="310"/>
      <c r="B3" s="310"/>
      <c r="C3" s="317"/>
      <c r="D3" s="317"/>
      <c r="E3" s="317"/>
      <c r="F3" s="318" t="s">
        <v>450</v>
      </c>
      <c r="G3" s="319" t="s">
        <v>451</v>
      </c>
      <c r="H3" s="309"/>
      <c r="I3" s="384" t="s">
        <v>452</v>
      </c>
      <c r="J3" s="385" t="s">
        <v>451</v>
      </c>
      <c r="K3" s="600" t="s">
        <v>451</v>
      </c>
      <c r="L3" s="601"/>
      <c r="M3" s="601"/>
      <c r="N3" s="602"/>
      <c r="O3" s="320"/>
      <c r="P3" s="320"/>
      <c r="Q3" s="320"/>
      <c r="R3" s="350" t="s">
        <v>453</v>
      </c>
      <c r="T3" s="603" t="s">
        <v>454</v>
      </c>
      <c r="U3" s="604"/>
      <c r="V3" s="604"/>
      <c r="W3" s="605"/>
      <c r="X3" s="309"/>
      <c r="Y3" s="309"/>
      <c r="Z3" s="309"/>
      <c r="AA3" s="309"/>
      <c r="AB3" s="310"/>
      <c r="AC3" s="310"/>
      <c r="AD3" s="299"/>
      <c r="AE3" s="401"/>
      <c r="AF3" s="382"/>
      <c r="AG3" s="310"/>
      <c r="AH3" s="310"/>
      <c r="AI3" s="310"/>
      <c r="AJ3" s="310"/>
      <c r="AK3" s="310"/>
      <c r="AL3" s="310"/>
      <c r="AM3" s="310"/>
      <c r="AN3" s="310"/>
      <c r="AO3" s="310"/>
      <c r="AP3" s="310"/>
      <c r="AQ3" s="310"/>
      <c r="AR3" s="310"/>
    </row>
    <row r="4" spans="1:44" x14ac:dyDescent="0.35">
      <c r="A4" s="310"/>
      <c r="B4" s="310"/>
      <c r="C4" s="317"/>
      <c r="D4" s="317"/>
      <c r="E4" s="317"/>
      <c r="F4" s="318" t="s">
        <v>455</v>
      </c>
      <c r="G4" s="319" t="s">
        <v>456</v>
      </c>
      <c r="H4" s="309"/>
      <c r="I4" s="617" t="s">
        <v>457</v>
      </c>
      <c r="J4" s="618"/>
      <c r="K4" s="600" t="s">
        <v>457</v>
      </c>
      <c r="L4" s="601"/>
      <c r="M4" s="601"/>
      <c r="N4" s="602"/>
      <c r="O4" s="320"/>
      <c r="P4" s="320"/>
      <c r="Q4" s="320"/>
      <c r="R4" s="350" t="s">
        <v>456</v>
      </c>
      <c r="T4" s="309"/>
      <c r="U4" s="309"/>
      <c r="V4" s="302"/>
      <c r="W4" s="302"/>
      <c r="X4" s="309"/>
      <c r="Y4" s="309"/>
      <c r="Z4" s="309"/>
      <c r="AA4" s="309"/>
      <c r="AB4" s="310"/>
      <c r="AC4" s="310"/>
      <c r="AD4" s="299"/>
      <c r="AE4" s="401"/>
      <c r="AF4" s="382"/>
      <c r="AG4" s="310"/>
      <c r="AH4" s="310"/>
      <c r="AI4" s="351"/>
      <c r="AJ4" s="351"/>
      <c r="AK4" s="351"/>
      <c r="AL4" s="351"/>
      <c r="AM4" s="351"/>
      <c r="AN4" s="351"/>
      <c r="AO4" s="351"/>
      <c r="AP4" s="351"/>
      <c r="AQ4" s="351"/>
      <c r="AR4" s="351"/>
    </row>
    <row r="5" spans="1:44" x14ac:dyDescent="0.35">
      <c r="A5" s="310"/>
      <c r="B5" s="310"/>
      <c r="C5" s="317"/>
      <c r="D5" s="317"/>
      <c r="E5" s="317"/>
      <c r="F5" s="386" t="s">
        <v>458</v>
      </c>
      <c r="G5" s="389"/>
      <c r="H5" s="371"/>
      <c r="I5" s="609" t="s">
        <v>459</v>
      </c>
      <c r="J5" s="610"/>
      <c r="K5" s="380"/>
      <c r="L5" s="380"/>
      <c r="M5" s="380"/>
      <c r="N5" s="380"/>
      <c r="O5" s="371"/>
      <c r="P5" s="371"/>
      <c r="Q5" s="371"/>
      <c r="R5" s="371"/>
      <c r="S5" s="371"/>
      <c r="T5" s="371"/>
      <c r="U5" s="371"/>
      <c r="V5" s="387"/>
      <c r="W5" s="387"/>
      <c r="X5" s="309"/>
      <c r="Y5" s="309"/>
      <c r="Z5" s="309"/>
      <c r="AA5" s="309"/>
      <c r="AB5" s="310"/>
      <c r="AC5" s="310"/>
      <c r="AD5" s="299"/>
      <c r="AE5" s="401"/>
      <c r="AF5" s="382"/>
      <c r="AG5" s="310"/>
      <c r="AH5" s="310"/>
      <c r="AI5" s="351"/>
      <c r="AJ5" s="351"/>
      <c r="AK5" s="351"/>
      <c r="AL5" s="351"/>
      <c r="AM5" s="351"/>
      <c r="AN5" s="351"/>
      <c r="AO5" s="351"/>
      <c r="AP5" s="351"/>
      <c r="AQ5" s="351"/>
      <c r="AR5" s="351"/>
    </row>
    <row r="6" spans="1:44" x14ac:dyDescent="0.35">
      <c r="A6" s="354"/>
      <c r="B6" s="354"/>
      <c r="C6" s="590" t="s">
        <v>460</v>
      </c>
      <c r="D6" s="590"/>
      <c r="E6" s="590"/>
      <c r="F6" s="590"/>
      <c r="G6" s="590"/>
      <c r="H6" s="591"/>
      <c r="I6" s="591"/>
      <c r="J6" s="591"/>
      <c r="K6" s="591"/>
      <c r="L6" s="591"/>
      <c r="M6" s="591"/>
      <c r="N6" s="591"/>
      <c r="O6" s="591"/>
      <c r="P6" s="591"/>
      <c r="Q6" s="591"/>
      <c r="R6" s="591"/>
      <c r="S6" s="591"/>
      <c r="T6" s="591"/>
      <c r="U6" s="591"/>
      <c r="V6" s="591"/>
      <c r="W6" s="592"/>
      <c r="X6" s="606" t="s">
        <v>461</v>
      </c>
      <c r="Y6" s="607"/>
      <c r="Z6" s="607"/>
      <c r="AA6" s="607"/>
      <c r="AB6" s="607"/>
      <c r="AC6" s="607"/>
      <c r="AD6" s="607"/>
      <c r="AE6" s="607"/>
      <c r="AF6" s="607"/>
      <c r="AG6" s="607"/>
      <c r="AH6" s="607"/>
      <c r="AI6" s="607"/>
      <c r="AJ6" s="607"/>
      <c r="AK6" s="607"/>
      <c r="AL6" s="607"/>
      <c r="AM6" s="607"/>
      <c r="AN6" s="607"/>
      <c r="AO6" s="607"/>
      <c r="AP6" s="607"/>
      <c r="AQ6" s="608"/>
      <c r="AR6" s="351"/>
    </row>
    <row r="7" spans="1:44" s="312" customFormat="1" x14ac:dyDescent="0.35">
      <c r="A7" s="314"/>
      <c r="B7" s="314"/>
      <c r="C7" s="314"/>
      <c r="D7" s="314"/>
      <c r="E7" s="314"/>
      <c r="F7" s="314"/>
      <c r="G7" s="314"/>
      <c r="H7" s="546"/>
      <c r="I7" s="611" t="s">
        <v>462</v>
      </c>
      <c r="J7" s="612"/>
      <c r="K7" s="611" t="s">
        <v>463</v>
      </c>
      <c r="L7" s="613"/>
      <c r="M7" s="613"/>
      <c r="N7" s="612"/>
      <c r="O7" s="611" t="s">
        <v>464</v>
      </c>
      <c r="P7" s="613"/>
      <c r="Q7" s="612"/>
      <c r="R7" s="546"/>
      <c r="S7" s="546"/>
      <c r="T7" s="614" t="s">
        <v>465</v>
      </c>
      <c r="U7" s="614"/>
      <c r="V7" s="614"/>
      <c r="W7" s="615"/>
      <c r="X7" s="616">
        <v>45890</v>
      </c>
      <c r="Y7" s="614"/>
      <c r="Z7" s="614"/>
      <c r="AA7" s="614"/>
      <c r="AB7" s="614"/>
      <c r="AC7" s="615"/>
      <c r="AD7" s="593" t="s">
        <v>466</v>
      </c>
      <c r="AE7" s="594"/>
      <c r="AF7" s="594"/>
      <c r="AG7" s="594"/>
      <c r="AH7" s="594"/>
      <c r="AI7" s="594"/>
      <c r="AJ7" s="595"/>
      <c r="AK7" s="526"/>
      <c r="AL7" s="526"/>
      <c r="AM7" s="526"/>
      <c r="AN7" s="526"/>
      <c r="AO7" s="526"/>
      <c r="AP7" s="526"/>
      <c r="AQ7" s="353"/>
      <c r="AR7" s="353"/>
    </row>
    <row r="8" spans="1:44" ht="43.5" x14ac:dyDescent="0.35">
      <c r="A8" s="328" t="s">
        <v>467</v>
      </c>
      <c r="B8" s="328" t="s">
        <v>468</v>
      </c>
      <c r="C8" s="328" t="s">
        <v>469</v>
      </c>
      <c r="D8" s="325" t="s">
        <v>470</v>
      </c>
      <c r="E8" s="323" t="s">
        <v>471</v>
      </c>
      <c r="F8" s="323" t="s">
        <v>472</v>
      </c>
      <c r="G8" s="323" t="s">
        <v>473</v>
      </c>
      <c r="H8" s="328" t="s">
        <v>474</v>
      </c>
      <c r="I8" s="328" t="s">
        <v>475</v>
      </c>
      <c r="J8" s="356" t="s">
        <v>476</v>
      </c>
      <c r="K8" s="329" t="s">
        <v>477</v>
      </c>
      <c r="L8" s="329" t="s">
        <v>478</v>
      </c>
      <c r="M8" s="329" t="s">
        <v>479</v>
      </c>
      <c r="N8" s="329" t="s">
        <v>480</v>
      </c>
      <c r="O8" s="325" t="s">
        <v>481</v>
      </c>
      <c r="P8" s="325" t="s">
        <v>482</v>
      </c>
      <c r="Q8" s="325" t="s">
        <v>483</v>
      </c>
      <c r="R8" s="356" t="s">
        <v>484</v>
      </c>
      <c r="S8" s="322" t="s">
        <v>485</v>
      </c>
      <c r="T8" s="328" t="s">
        <v>486</v>
      </c>
      <c r="U8" s="357" t="s">
        <v>487</v>
      </c>
      <c r="V8" s="357" t="s">
        <v>488</v>
      </c>
      <c r="W8" s="357" t="s">
        <v>489</v>
      </c>
      <c r="X8" s="358" t="s">
        <v>281</v>
      </c>
      <c r="Y8" s="390"/>
      <c r="Z8" s="390"/>
      <c r="AA8" s="390"/>
      <c r="AB8" s="325" t="s">
        <v>490</v>
      </c>
      <c r="AC8" s="359" t="s">
        <v>290</v>
      </c>
      <c r="AD8" s="331" t="s">
        <v>281</v>
      </c>
      <c r="AE8" s="332" t="s">
        <v>491</v>
      </c>
      <c r="AF8" s="332" t="s">
        <v>492</v>
      </c>
      <c r="AG8" s="334" t="s">
        <v>493</v>
      </c>
      <c r="AH8" s="334" t="s">
        <v>494</v>
      </c>
      <c r="AI8" s="328" t="s">
        <v>495</v>
      </c>
      <c r="AJ8" s="333" t="s">
        <v>290</v>
      </c>
      <c r="AK8" s="322"/>
      <c r="AL8" s="322"/>
      <c r="AM8" s="322"/>
      <c r="AN8" s="322"/>
      <c r="AO8" s="322"/>
      <c r="AP8" s="322"/>
      <c r="AQ8" s="360"/>
      <c r="AR8" s="360"/>
    </row>
    <row r="9" spans="1:44" x14ac:dyDescent="0.35">
      <c r="A9" s="309" t="s">
        <v>28</v>
      </c>
      <c r="B9" s="309" t="s">
        <v>496</v>
      </c>
      <c r="C9" s="368" t="s">
        <v>61</v>
      </c>
      <c r="D9" s="309" t="s">
        <v>497</v>
      </c>
      <c r="E9" s="317" t="s">
        <v>498</v>
      </c>
      <c r="F9" s="317" t="s">
        <v>499</v>
      </c>
      <c r="G9" s="340" t="s">
        <v>500</v>
      </c>
      <c r="H9" s="368" t="s">
        <v>501</v>
      </c>
      <c r="I9" s="309" t="s">
        <v>502</v>
      </c>
      <c r="J9" s="362">
        <v>4.4999999999999997E-3</v>
      </c>
      <c r="K9" s="361">
        <v>227</v>
      </c>
      <c r="L9" s="361">
        <v>242</v>
      </c>
      <c r="M9" s="361">
        <v>227</v>
      </c>
      <c r="N9" s="361">
        <v>227.56</v>
      </c>
      <c r="O9" s="299">
        <f>(N9-M9)/M9</f>
        <v>2.4669603524229175E-3</v>
      </c>
      <c r="P9" s="299">
        <f>(N9-L9)/L9</f>
        <v>-5.9669421487603298E-2</v>
      </c>
      <c r="Q9" s="299">
        <f>(N9-K9)/K9</f>
        <v>2.4669603524229175E-3</v>
      </c>
      <c r="R9" s="379"/>
      <c r="S9" s="365">
        <v>62</v>
      </c>
      <c r="T9" s="362" t="s">
        <v>503</v>
      </c>
      <c r="U9" s="362" t="s">
        <v>504</v>
      </c>
      <c r="V9" s="362" t="s">
        <v>505</v>
      </c>
      <c r="W9" s="362" t="s">
        <v>505</v>
      </c>
      <c r="X9" s="321">
        <f>_xlfn.XLOOKUP($C9,Downloads!A$2:A$501,Downloads!B$2:B$501)</f>
        <v>14619</v>
      </c>
      <c r="Y9" s="302"/>
      <c r="Z9" s="302"/>
      <c r="AA9" s="302"/>
      <c r="AB9" s="367" t="s">
        <v>506</v>
      </c>
      <c r="AC9" s="317"/>
      <c r="AD9" s="321" cm="1">
        <f t="array" ref="AD9">_xlfn.XLOOKUP($A9&amp;$C9,Downloads!$G$2:'Downloads'!$G$501&amp;Downloads!$H$2:'Downloads'!$H$501,Downloads!I$2:I$501)</f>
        <v>15089.1</v>
      </c>
      <c r="AE9" s="523" cm="1">
        <f t="array" ref="AE9">_xlfn.XLOOKUP($A9&amp;$C9,Downloads!$G$2:'Downloads'!$G$501&amp;Downloads!$H$2:'Downloads'!$H$501,Downloads!J$2:J$501)</f>
        <v>65</v>
      </c>
      <c r="AF9" s="302" cm="1">
        <f t="array" ref="AF9">_xlfn.XLOOKUP($A9&amp;$C9,Downloads!$G$2:'Downloads'!$G$501&amp;Downloads!$H$2:'Downloads'!$H$501,Downloads!K$2:K$501)</f>
        <v>175.06</v>
      </c>
      <c r="AG9" s="362">
        <f t="shared" ref="AG9:AG41" si="0">(AD9-X9)/X9</f>
        <v>3.215678226964911E-2</v>
      </c>
      <c r="AH9" s="361">
        <f>IF(B9="US",(AG9)/AG$15,(AG9)/AG$35)</f>
        <v>-0.21840705307640479</v>
      </c>
      <c r="AJ9" s="556"/>
      <c r="AK9" s="309"/>
      <c r="AL9" s="309"/>
      <c r="AM9" s="309"/>
      <c r="AN9" s="309"/>
      <c r="AO9" s="309"/>
      <c r="AP9" s="309"/>
      <c r="AQ9" s="309"/>
      <c r="AR9" s="309"/>
    </row>
    <row r="10" spans="1:44" x14ac:dyDescent="0.35">
      <c r="A10" s="309" t="s">
        <v>28</v>
      </c>
      <c r="B10" s="309" t="s">
        <v>496</v>
      </c>
      <c r="C10" s="368" t="s">
        <v>62</v>
      </c>
      <c r="D10" s="309" t="s">
        <v>497</v>
      </c>
      <c r="E10" s="317" t="s">
        <v>507</v>
      </c>
      <c r="F10" s="317" t="s">
        <v>508</v>
      </c>
      <c r="G10" s="340" t="s">
        <v>500</v>
      </c>
      <c r="H10" s="368" t="s">
        <v>501</v>
      </c>
      <c r="I10" s="309" t="s">
        <v>502</v>
      </c>
      <c r="J10" s="362">
        <v>3.1300000000000001E-2</v>
      </c>
      <c r="K10" s="361">
        <v>198</v>
      </c>
      <c r="L10" s="361">
        <v>203</v>
      </c>
      <c r="M10" s="361">
        <v>189.6</v>
      </c>
      <c r="N10" s="361">
        <v>208.06</v>
      </c>
      <c r="O10" s="299">
        <f>(N10-M10)/M10</f>
        <v>9.7362869198312288E-2</v>
      </c>
      <c r="P10" s="299">
        <f>(N10-L10)/L10</f>
        <v>2.4926108374384248E-2</v>
      </c>
      <c r="Q10" s="299">
        <f>(N10-K10)/K10</f>
        <v>5.0808080808080823E-2</v>
      </c>
      <c r="R10" s="379"/>
      <c r="S10" s="365">
        <v>87</v>
      </c>
      <c r="T10" s="362" t="s">
        <v>509</v>
      </c>
      <c r="U10" s="362" t="s">
        <v>504</v>
      </c>
      <c r="V10" s="362" t="s">
        <v>505</v>
      </c>
      <c r="W10" s="362" t="s">
        <v>505</v>
      </c>
      <c r="X10" s="321">
        <f>_xlfn.XLOOKUP($C10,Downloads!A$2:A$501,Downloads!B$2:B$501)</f>
        <v>11523</v>
      </c>
      <c r="Y10" s="302"/>
      <c r="Z10" s="302"/>
      <c r="AA10" s="302"/>
      <c r="AB10" s="370" t="s">
        <v>510</v>
      </c>
      <c r="AC10" s="317"/>
      <c r="AD10" s="321" cm="1">
        <f t="array" ref="AD10">_xlfn.XLOOKUP($A10&amp;$C10,Downloads!$G$2:'Downloads'!$G$501&amp;Downloads!$H$2:'Downloads'!$H$501,Downloads!I$2:I$501)</f>
        <v>11572</v>
      </c>
      <c r="AE10" s="523" cm="1">
        <f t="array" ref="AE10">_xlfn.XLOOKUP($A10&amp;$C10,Downloads!$G$2:'Downloads'!$G$501&amp;Downloads!$H$2:'Downloads'!$H$501,Downloads!J$2:J$501)</f>
        <v>55</v>
      </c>
      <c r="AF10" s="302" cm="1">
        <f t="array" ref="AF10">_xlfn.XLOOKUP($A10&amp;$C10,Downloads!$G$2:'Downloads'!$G$501&amp;Downloads!$H$2:'Downloads'!$H$501,Downloads!K$2:K$501)</f>
        <v>117.04</v>
      </c>
      <c r="AG10" s="362">
        <f t="shared" si="0"/>
        <v>4.2523648355462986E-3</v>
      </c>
      <c r="AH10" s="361">
        <f t="shared" ref="AH10:AH41" si="1">IF(B10="US",(AG10)/AG$15,(AG10)/AG$35)</f>
        <v>-2.8881822333759643E-2</v>
      </c>
      <c r="AJ10" s="556"/>
      <c r="AK10" s="309"/>
      <c r="AL10" s="309"/>
      <c r="AM10" s="309"/>
      <c r="AN10" s="309"/>
      <c r="AO10" s="309"/>
      <c r="AP10" s="309"/>
      <c r="AQ10" s="309"/>
      <c r="AR10" s="309"/>
    </row>
    <row r="11" spans="1:44" ht="14.5" customHeight="1" x14ac:dyDescent="0.35">
      <c r="A11" s="309" t="s">
        <v>28</v>
      </c>
      <c r="B11" s="309" t="s">
        <v>496</v>
      </c>
      <c r="C11" s="368" t="s">
        <v>64</v>
      </c>
      <c r="D11" s="309" t="s">
        <v>497</v>
      </c>
      <c r="E11" s="317" t="s">
        <v>511</v>
      </c>
      <c r="F11" s="317" t="s">
        <v>512</v>
      </c>
      <c r="G11" s="340" t="s">
        <v>500</v>
      </c>
      <c r="H11" s="525" t="s">
        <v>513</v>
      </c>
      <c r="I11" s="309" t="s">
        <v>502</v>
      </c>
      <c r="J11" s="362">
        <v>1.0800000000000001E-2</v>
      </c>
      <c r="K11" s="361">
        <v>254</v>
      </c>
      <c r="L11" s="361">
        <v>296</v>
      </c>
      <c r="M11" s="361">
        <v>310.8</v>
      </c>
      <c r="N11" s="361">
        <v>319</v>
      </c>
      <c r="O11" s="299">
        <f>(N11-M11)/M11</f>
        <v>2.6383526383526347E-2</v>
      </c>
      <c r="P11" s="299">
        <f>(N11-L11)/L11</f>
        <v>7.77027027027027E-2</v>
      </c>
      <c r="Q11" s="299">
        <f>(N11-K11)/K11</f>
        <v>0.25590551181102361</v>
      </c>
      <c r="R11" s="379"/>
      <c r="S11" s="365">
        <v>80</v>
      </c>
      <c r="T11" s="362" t="s">
        <v>503</v>
      </c>
      <c r="U11" s="362" t="s">
        <v>505</v>
      </c>
      <c r="V11" s="362" t="s">
        <v>505</v>
      </c>
      <c r="W11" s="362" t="s">
        <v>505</v>
      </c>
      <c r="X11" s="321">
        <f>_xlfn.XLOOKUP($C11,Downloads!A$2:A$501,Downloads!B$2:B$501)</f>
        <v>21572</v>
      </c>
      <c r="Y11" s="302"/>
      <c r="Z11" s="302"/>
      <c r="AA11" s="302"/>
      <c r="AB11" s="367" t="s">
        <v>506</v>
      </c>
      <c r="AC11" s="317"/>
      <c r="AD11" s="321" cm="1">
        <f t="array" ref="AD11">_xlfn.XLOOKUP($A11&amp;$C11,Downloads!$G$2:'Downloads'!$G$501&amp;Downloads!$H$2:'Downloads'!$H$501,Downloads!I$2:I$501)</f>
        <v>23189.599999999999</v>
      </c>
      <c r="AE11" s="523" cm="1">
        <f t="array" ref="AE11">_xlfn.XLOOKUP($A11&amp;$C11,Downloads!$G$2:'Downloads'!$G$501&amp;Downloads!$H$2:'Downloads'!$H$501,Downloads!J$2:J$501)</f>
        <v>70</v>
      </c>
      <c r="AF11" s="302" cm="1">
        <f t="array" ref="AF11">_xlfn.XLOOKUP($A11&amp;$C11,Downloads!$G$2:'Downloads'!$G$501&amp;Downloads!$H$2:'Downloads'!$H$501,Downloads!K$2:K$501)</f>
        <v>230.41</v>
      </c>
      <c r="AG11" s="362">
        <f t="shared" si="0"/>
        <v>7.4986093083626859E-2</v>
      </c>
      <c r="AH11" s="361">
        <f t="shared" si="1"/>
        <v>-0.50930131860754213</v>
      </c>
      <c r="AJ11" s="556"/>
      <c r="AK11" s="309"/>
      <c r="AL11" s="309"/>
      <c r="AM11" s="309"/>
      <c r="AN11" s="309"/>
      <c r="AO11" s="309"/>
      <c r="AP11" s="309"/>
      <c r="AQ11" s="309"/>
      <c r="AR11" s="309"/>
    </row>
    <row r="12" spans="1:44" x14ac:dyDescent="0.35">
      <c r="A12" s="309" t="s">
        <v>28</v>
      </c>
      <c r="B12" s="309" t="s">
        <v>496</v>
      </c>
      <c r="C12" s="368" t="s">
        <v>65</v>
      </c>
      <c r="D12" s="309" t="s">
        <v>497</v>
      </c>
      <c r="E12" s="317" t="s">
        <v>514</v>
      </c>
      <c r="F12" s="317" t="s">
        <v>515</v>
      </c>
      <c r="G12" s="340" t="s">
        <v>500</v>
      </c>
      <c r="H12" s="368" t="s">
        <v>501</v>
      </c>
      <c r="I12" s="309" t="s">
        <v>516</v>
      </c>
      <c r="J12" s="362">
        <v>0</v>
      </c>
      <c r="K12" s="361">
        <v>3149</v>
      </c>
      <c r="L12" s="361">
        <v>3410</v>
      </c>
      <c r="M12" s="361">
        <v>3794</v>
      </c>
      <c r="N12" s="361">
        <v>4169</v>
      </c>
      <c r="O12" s="299">
        <f>(N12-M12)/M12</f>
        <v>9.884027411702688E-2</v>
      </c>
      <c r="P12" s="299">
        <f>(N12-L12)/L12</f>
        <v>0.22258064516129034</v>
      </c>
      <c r="Q12" s="299">
        <f>(N12-K12)/K12</f>
        <v>0.32391235312797712</v>
      </c>
      <c r="R12" s="379"/>
      <c r="S12" s="365">
        <v>13</v>
      </c>
      <c r="T12" s="362" t="s">
        <v>517</v>
      </c>
      <c r="U12" s="362" t="s">
        <v>505</v>
      </c>
      <c r="V12" s="362" t="s">
        <v>505</v>
      </c>
      <c r="W12" s="362" t="s">
        <v>505</v>
      </c>
      <c r="X12" s="321">
        <f>_xlfn.XLOOKUP($C12,Downloads!A$2:A$501,Downloads!B$2:B$501)</f>
        <v>20638</v>
      </c>
      <c r="Y12" s="302"/>
      <c r="Z12" s="302"/>
      <c r="AA12" s="302"/>
      <c r="AB12" s="370" t="s">
        <v>510</v>
      </c>
      <c r="AC12" s="317"/>
      <c r="AD12" s="321" cm="1">
        <f t="array" ref="AD12">_xlfn.XLOOKUP($A12&amp;$C12,Downloads!$G$2:'Downloads'!$G$501&amp;Downloads!$H$2:'Downloads'!$H$501,Downloads!I$2:I$501)</f>
        <v>20992.65</v>
      </c>
      <c r="AE12" s="523" cm="1">
        <f t="array" ref="AE12">_xlfn.XLOOKUP($A12&amp;$C12,Downloads!$G$2:'Downloads'!$G$501&amp;Downloads!$H$2:'Downloads'!$H$501,Downloads!J$2:J$501)</f>
        <v>5</v>
      </c>
      <c r="AF12" s="302" cm="1">
        <f t="array" ref="AF12">_xlfn.XLOOKUP($A12&amp;$C12,Downloads!$G$2:'Downloads'!$G$501&amp;Downloads!$H$2:'Downloads'!$H$501,Downloads!K$2:K$501)</f>
        <v>1164.2</v>
      </c>
      <c r="AG12" s="362">
        <f t="shared" si="0"/>
        <v>1.7184320186064611E-2</v>
      </c>
      <c r="AH12" s="361">
        <f t="shared" si="1"/>
        <v>-0.11671493433290898</v>
      </c>
      <c r="AJ12" s="556"/>
      <c r="AK12" s="309"/>
      <c r="AL12" s="309"/>
      <c r="AM12" s="309"/>
      <c r="AN12" s="309"/>
      <c r="AO12" s="309"/>
      <c r="AP12" s="309"/>
      <c r="AQ12" s="309"/>
      <c r="AR12" s="309"/>
    </row>
    <row r="13" spans="1:44" ht="14.5" customHeight="1" x14ac:dyDescent="0.35">
      <c r="A13" s="309" t="s">
        <v>28</v>
      </c>
      <c r="B13" s="309" t="s">
        <v>496</v>
      </c>
      <c r="C13" s="474" t="s">
        <v>67</v>
      </c>
      <c r="D13" s="372"/>
      <c r="E13" s="373" t="s">
        <v>518</v>
      </c>
      <c r="F13" s="373"/>
      <c r="G13" s="373"/>
      <c r="H13" s="368" t="s">
        <v>501</v>
      </c>
      <c r="I13" s="309"/>
      <c r="J13" s="374"/>
      <c r="K13" s="378"/>
      <c r="L13" s="378"/>
      <c r="M13" s="378"/>
      <c r="N13" s="378"/>
      <c r="O13" s="299"/>
      <c r="P13" s="299"/>
      <c r="Q13" s="299"/>
      <c r="R13" s="374"/>
      <c r="S13" s="375"/>
      <c r="T13" s="374"/>
      <c r="U13" s="374"/>
      <c r="V13" s="374"/>
      <c r="W13" s="374"/>
      <c r="X13" s="321">
        <f>_xlfn.XLOOKUP($C13,Downloads!A$2:A$501,Downloads!B$2:B$501)</f>
        <v>6200</v>
      </c>
      <c r="Y13" s="302"/>
      <c r="Z13" s="302"/>
      <c r="AA13" s="302"/>
      <c r="AB13" s="372"/>
      <c r="AC13" s="376" t="s">
        <v>519</v>
      </c>
      <c r="AD13" s="321" cm="1">
        <f t="array" ref="AD13">_xlfn.XLOOKUP($A13&amp;$C13,Downloads!$G$2:'Downloads'!$G$501&amp;Downloads!$H$2:'Downloads'!$H$501,Downloads!I$2:I$501)</f>
        <v>6235.25</v>
      </c>
      <c r="AE13" s="523" cm="1">
        <f t="array" ref="AE13">_xlfn.XLOOKUP($A13&amp;$C13,Downloads!$G$2:'Downloads'!$G$501&amp;Downloads!$H$2:'Downloads'!$H$501,Downloads!J$2:J$501)</f>
        <v>5</v>
      </c>
      <c r="AF13" s="302" cm="1">
        <f t="array" ref="AF13">_xlfn.XLOOKUP($A13&amp;$C13,Downloads!$G$2:'Downloads'!$G$501&amp;Downloads!$H$2:'Downloads'!$H$501,Downloads!K$2:K$501)</f>
        <v>1408</v>
      </c>
      <c r="AG13" s="362">
        <f t="shared" si="0"/>
        <v>5.6854838709677422E-3</v>
      </c>
      <c r="AH13" s="361">
        <f t="shared" si="1"/>
        <v>-3.8615486063215639E-2</v>
      </c>
      <c r="AJ13" s="556"/>
      <c r="AK13" s="309"/>
      <c r="AL13" s="309"/>
      <c r="AM13" s="309"/>
      <c r="AN13" s="309"/>
      <c r="AO13" s="309"/>
      <c r="AP13" s="309"/>
      <c r="AQ13" s="309"/>
      <c r="AR13" s="309"/>
    </row>
    <row r="14" spans="1:44" ht="15" customHeight="1" x14ac:dyDescent="0.35">
      <c r="A14" s="309" t="s">
        <v>28</v>
      </c>
      <c r="B14" s="309" t="s">
        <v>496</v>
      </c>
      <c r="C14" s="368" t="s">
        <v>71</v>
      </c>
      <c r="D14" s="309" t="s">
        <v>497</v>
      </c>
      <c r="E14" s="317" t="s">
        <v>520</v>
      </c>
      <c r="F14" s="317" t="s">
        <v>521</v>
      </c>
      <c r="G14" s="340" t="s">
        <v>500</v>
      </c>
      <c r="H14" s="368" t="s">
        <v>501</v>
      </c>
      <c r="I14" s="309" t="s">
        <v>502</v>
      </c>
      <c r="J14" s="362">
        <v>4.4299999999999999E-2</v>
      </c>
      <c r="K14" s="361">
        <v>149</v>
      </c>
      <c r="L14" s="361">
        <v>156</v>
      </c>
      <c r="M14" s="361">
        <v>156</v>
      </c>
      <c r="N14" s="361">
        <v>156.88</v>
      </c>
      <c r="O14" s="299">
        <f>(N14-M14)/M14</f>
        <v>5.641025641025612E-3</v>
      </c>
      <c r="P14" s="299">
        <f>(N14-L14)/L14</f>
        <v>5.641025641025612E-3</v>
      </c>
      <c r="Q14" s="299">
        <f>(N14-K14)/K14</f>
        <v>5.2885906040268424E-2</v>
      </c>
      <c r="R14" s="379"/>
      <c r="S14" s="365">
        <v>36</v>
      </c>
      <c r="T14" s="362" t="s">
        <v>503</v>
      </c>
      <c r="U14" s="362" t="s">
        <v>505</v>
      </c>
      <c r="V14" s="362" t="s">
        <v>505</v>
      </c>
      <c r="W14" s="362" t="s">
        <v>505</v>
      </c>
      <c r="X14" s="321">
        <f>_xlfn.XLOOKUP($C14,Downloads!A$2:A$501,Downloads!B$2:B$501)</f>
        <v>12444</v>
      </c>
      <c r="Y14" s="302"/>
      <c r="Z14" s="302"/>
      <c r="AA14" s="302"/>
      <c r="AB14" s="309" t="s">
        <v>510</v>
      </c>
      <c r="AC14" s="317"/>
      <c r="AD14" s="321" cm="1">
        <f t="array" ref="AD14">_xlfn.XLOOKUP($A14&amp;$C14,Downloads!$G$2:'Downloads'!$G$501&amp;Downloads!$H$2:'Downloads'!$H$501,Downloads!I$2:I$501)</f>
        <v>12848</v>
      </c>
      <c r="AE14" s="523" cm="1">
        <f t="array" ref="AE14">_xlfn.XLOOKUP($A14&amp;$C14,Downloads!$G$2:'Downloads'!$G$501&amp;Downloads!$H$2:'Downloads'!$H$501,Downloads!J$2:J$501)</f>
        <v>80</v>
      </c>
      <c r="AF14" s="302" cm="1">
        <f t="array" ref="AF14">_xlfn.XLOOKUP($A14&amp;$C14,Downloads!$G$2:'Downloads'!$G$501&amp;Downloads!$H$2:'Downloads'!$H$501,Downloads!K$2:K$501)</f>
        <v>143.13</v>
      </c>
      <c r="AG14" s="362">
        <f t="shared" si="0"/>
        <v>3.2465445194471233E-2</v>
      </c>
      <c r="AH14" s="361">
        <f t="shared" si="1"/>
        <v>-0.22050347426802297</v>
      </c>
      <c r="AJ14" s="556"/>
      <c r="AK14" s="309"/>
      <c r="AL14" s="309"/>
      <c r="AM14" s="309"/>
      <c r="AN14" s="309"/>
      <c r="AO14" s="309"/>
      <c r="AP14" s="309"/>
      <c r="AQ14" s="309"/>
      <c r="AR14" s="309"/>
    </row>
    <row r="15" spans="1:44" ht="15" customHeight="1" x14ac:dyDescent="0.35">
      <c r="A15" s="475" t="s">
        <v>28</v>
      </c>
      <c r="B15" s="475" t="s">
        <v>496</v>
      </c>
      <c r="C15" s="476" t="s">
        <v>80</v>
      </c>
      <c r="D15" s="475" t="s">
        <v>522</v>
      </c>
      <c r="E15" s="477" t="s">
        <v>523</v>
      </c>
      <c r="F15" s="477" t="s">
        <v>524</v>
      </c>
      <c r="G15" s="477" t="s">
        <v>525</v>
      </c>
      <c r="H15" s="368" t="s">
        <v>501</v>
      </c>
      <c r="I15" s="475" t="s">
        <v>526</v>
      </c>
      <c r="J15" s="478">
        <v>1.0999999999999999E-2</v>
      </c>
      <c r="K15" s="484">
        <v>19.559999999999999</v>
      </c>
      <c r="L15" s="484">
        <v>20.6</v>
      </c>
      <c r="M15" s="484">
        <v>22.03</v>
      </c>
      <c r="N15" s="484">
        <v>22.43</v>
      </c>
      <c r="O15" s="480">
        <f>(N15-M15)/M15</f>
        <v>1.815705855651378E-2</v>
      </c>
      <c r="P15" s="480">
        <f>(N15-L15)/L15</f>
        <v>8.8834951456310596E-2</v>
      </c>
      <c r="Q15" s="480">
        <f>(N15-K15)/K15</f>
        <v>0.14672801635991825</v>
      </c>
      <c r="R15" s="478">
        <v>0.15790000000000001</v>
      </c>
      <c r="S15" s="381"/>
      <c r="T15" s="379"/>
      <c r="U15" s="379"/>
      <c r="V15" s="379"/>
      <c r="W15" s="379"/>
      <c r="X15" s="482">
        <f>_xlfn.XLOOKUP($C15,Downloads!A$2:A$501,Downloads!B$2:B$501)</f>
        <v>270000</v>
      </c>
      <c r="Y15" s="483"/>
      <c r="Z15" s="483"/>
      <c r="AA15" s="483"/>
      <c r="AB15" s="370" t="s">
        <v>510</v>
      </c>
      <c r="AC15" s="477"/>
      <c r="AD15" s="482" cm="1">
        <f t="array" ref="AD15">_xlfn.XLOOKUP($A15&amp;$C15,Downloads!$G$2:'Downloads'!$G$501&amp;Downloads!$H$2:'Downloads'!$H$501,Downloads!I$2:I$501)</f>
        <v>230247.02</v>
      </c>
      <c r="AE15" s="524" cm="1">
        <f t="array" ref="AE15">_xlfn.XLOOKUP($A15&amp;$C15,Downloads!$G$2:'Downloads'!$G$501&amp;Downloads!$H$2:'Downloads'!$H$501,Downloads!J$2:J$501)</f>
        <v>10219.575000000001</v>
      </c>
      <c r="AF15" s="483" cm="1">
        <f t="array" ref="AF15">_xlfn.XLOOKUP($A15&amp;$C15,Downloads!$G$2:'Downloads'!$G$501&amp;Downloads!$H$2:'Downloads'!$H$501,Downloads!K$2:K$501)</f>
        <v>22.53</v>
      </c>
      <c r="AG15" s="478">
        <f t="shared" si="0"/>
        <v>-0.14723325925925929</v>
      </c>
      <c r="AH15" s="361">
        <f t="shared" si="1"/>
        <v>1</v>
      </c>
      <c r="AJ15" s="556"/>
      <c r="AK15" s="309"/>
      <c r="AL15" s="309"/>
      <c r="AM15" s="309"/>
      <c r="AN15" s="309"/>
      <c r="AO15" s="309"/>
      <c r="AP15" s="309"/>
      <c r="AQ15" s="309"/>
      <c r="AR15" s="309"/>
    </row>
    <row r="16" spans="1:44" x14ac:dyDescent="0.35">
      <c r="A16" s="309" t="s">
        <v>28</v>
      </c>
      <c r="B16" s="309" t="s">
        <v>496</v>
      </c>
      <c r="C16" s="368" t="s">
        <v>38</v>
      </c>
      <c r="D16" s="309" t="s">
        <v>497</v>
      </c>
      <c r="E16" s="297" t="s">
        <v>527</v>
      </c>
      <c r="F16" s="317" t="s">
        <v>528</v>
      </c>
      <c r="G16" s="340" t="s">
        <v>500</v>
      </c>
      <c r="H16" s="183" t="s">
        <v>501</v>
      </c>
      <c r="I16" s="309" t="s">
        <v>502</v>
      </c>
      <c r="J16" s="362">
        <v>5.1000000000000004E-3</v>
      </c>
      <c r="K16" s="361">
        <v>169</v>
      </c>
      <c r="L16" s="361">
        <v>201</v>
      </c>
      <c r="M16" s="361">
        <v>272</v>
      </c>
      <c r="N16" s="361">
        <v>271.76</v>
      </c>
      <c r="O16" s="362">
        <v>1.4E-3</v>
      </c>
      <c r="P16" s="362">
        <v>0.35060000000000002</v>
      </c>
      <c r="Q16" s="362">
        <v>0.5675</v>
      </c>
      <c r="R16" s="377"/>
      <c r="S16" s="211">
        <v>48</v>
      </c>
      <c r="T16" s="32" t="s">
        <v>529</v>
      </c>
      <c r="U16" s="32" t="s">
        <v>529</v>
      </c>
      <c r="V16" s="32" t="s">
        <v>529</v>
      </c>
      <c r="W16" s="32" t="s">
        <v>505</v>
      </c>
      <c r="X16" s="321">
        <f>_xlfn.XLOOKUP($C16,Downloads!A$2:A$501,Downloads!B$2:B$501)</f>
        <v>10748</v>
      </c>
      <c r="Y16" s="302"/>
      <c r="Z16" s="302"/>
      <c r="AA16" s="302"/>
      <c r="AB16" s="370" t="s">
        <v>510</v>
      </c>
      <c r="AC16" s="317"/>
      <c r="AD16" s="321" cm="1">
        <f t="array" ref="AD16">_xlfn.XLOOKUP($A16&amp;$C16,Downloads!$G$2:'Downloads'!$G$501&amp;Downloads!$H$2:'Downloads'!$H$501,Downloads!I$2:I$501)</f>
        <v>16512</v>
      </c>
      <c r="AE16" s="523" cm="1">
        <f t="array" ref="AE16">_xlfn.XLOOKUP($A16&amp;$C16,Downloads!$G$2:'Downloads'!$G$501&amp;Downloads!$H$2:'Downloads'!$H$501,Downloads!J$2:J$501)</f>
        <v>60</v>
      </c>
      <c r="AF16" s="302" cm="1">
        <f t="array" ref="AF16">_xlfn.XLOOKUP($A16&amp;$C16,Downloads!$G$2:'Downloads'!$G$501&amp;Downloads!$H$2:'Downloads'!$H$501,Downloads!K$2:K$501)</f>
        <v>265.87</v>
      </c>
      <c r="AG16" s="362">
        <f t="shared" si="0"/>
        <v>0.5362858206177894</v>
      </c>
      <c r="AH16" s="361">
        <f t="shared" si="1"/>
        <v>-3.642423072856503</v>
      </c>
      <c r="AJ16" s="556"/>
      <c r="AK16" s="309"/>
      <c r="AL16" s="309"/>
      <c r="AM16" s="309"/>
      <c r="AN16" s="309"/>
      <c r="AO16" s="309"/>
      <c r="AP16" s="309"/>
      <c r="AQ16" s="309"/>
      <c r="AR16" s="309"/>
    </row>
    <row r="17" spans="1:44" x14ac:dyDescent="0.35">
      <c r="A17" s="309" t="s">
        <v>28</v>
      </c>
      <c r="B17" s="309" t="s">
        <v>496</v>
      </c>
      <c r="C17" s="368" t="s">
        <v>81</v>
      </c>
      <c r="D17" s="309" t="s">
        <v>497</v>
      </c>
      <c r="E17" s="317" t="s">
        <v>530</v>
      </c>
      <c r="F17" s="317" t="s">
        <v>499</v>
      </c>
      <c r="G17" s="340" t="s">
        <v>500</v>
      </c>
      <c r="H17" s="368" t="s">
        <v>501</v>
      </c>
      <c r="I17" s="309" t="s">
        <v>502</v>
      </c>
      <c r="J17" s="362">
        <v>4.0000000000000001E-3</v>
      </c>
      <c r="K17" s="361">
        <v>165</v>
      </c>
      <c r="L17" s="361">
        <v>174</v>
      </c>
      <c r="M17" s="361">
        <v>193</v>
      </c>
      <c r="N17" s="361">
        <v>206.77</v>
      </c>
      <c r="O17" s="299">
        <f t="shared" ref="O17:O41" si="2">(N17-M17)/M17</f>
        <v>7.1347150259067404E-2</v>
      </c>
      <c r="P17" s="299">
        <f t="shared" ref="P17:P41" si="3">(N17-L17)/L17</f>
        <v>0.18833333333333338</v>
      </c>
      <c r="Q17" s="299">
        <f t="shared" ref="Q17:Q41" si="4">(N17-K17)/K17</f>
        <v>0.25315151515151524</v>
      </c>
      <c r="R17" s="379"/>
      <c r="S17" s="365">
        <v>58</v>
      </c>
      <c r="T17" s="362" t="s">
        <v>517</v>
      </c>
      <c r="U17" s="362" t="s">
        <v>504</v>
      </c>
      <c r="V17" s="362" t="s">
        <v>505</v>
      </c>
      <c r="W17" s="362" t="s">
        <v>505</v>
      </c>
      <c r="X17" s="321">
        <f>_xlfn.XLOOKUP($C17,Downloads!A$2:A$501,Downloads!B$2:B$501)</f>
        <v>13983</v>
      </c>
      <c r="Y17" s="302"/>
      <c r="Z17" s="302"/>
      <c r="AA17" s="302"/>
      <c r="AB17" s="370" t="s">
        <v>510</v>
      </c>
      <c r="AC17" s="317"/>
      <c r="AD17" s="321" cm="1">
        <f t="array" ref="AD17">_xlfn.XLOOKUP($A17&amp;$C17,Downloads!$G$2:'Downloads'!$G$501&amp;Downloads!$H$2:'Downloads'!$H$501,Downloads!I$2:I$501)</f>
        <v>14903.7</v>
      </c>
      <c r="AE17" s="523" cm="1">
        <f t="array" ref="AE17">_xlfn.XLOOKUP($A17&amp;$C17,Downloads!$G$2:'Downloads'!$G$501&amp;Downloads!$H$2:'Downloads'!$H$501,Downloads!J$2:J$501)</f>
        <v>70</v>
      </c>
      <c r="AF17" s="302" cm="1">
        <f t="array" ref="AF17">_xlfn.XLOOKUP($A17&amp;$C17,Downloads!$G$2:'Downloads'!$G$501&amp;Downloads!$H$2:'Downloads'!$H$501,Downloads!K$2:K$501)</f>
        <v>89.01</v>
      </c>
      <c r="AG17" s="362">
        <f t="shared" si="0"/>
        <v>6.584423943359799E-2</v>
      </c>
      <c r="AH17" s="361">
        <f t="shared" si="1"/>
        <v>-0.44721036377829926</v>
      </c>
      <c r="AJ17" s="556"/>
      <c r="AK17" s="309"/>
      <c r="AL17" s="309"/>
      <c r="AM17" s="309"/>
      <c r="AN17" s="309"/>
      <c r="AO17" s="309"/>
      <c r="AP17" s="309"/>
      <c r="AQ17" s="309"/>
      <c r="AR17" s="309"/>
    </row>
    <row r="18" spans="1:44" x14ac:dyDescent="0.35">
      <c r="A18" s="309" t="s">
        <v>28</v>
      </c>
      <c r="B18" s="309" t="s">
        <v>496</v>
      </c>
      <c r="C18" s="368" t="s">
        <v>82</v>
      </c>
      <c r="D18" s="309" t="s">
        <v>497</v>
      </c>
      <c r="E18" s="317" t="s">
        <v>531</v>
      </c>
      <c r="F18" s="317" t="s">
        <v>532</v>
      </c>
      <c r="G18" s="340" t="s">
        <v>500</v>
      </c>
      <c r="H18" s="368" t="s">
        <v>501</v>
      </c>
      <c r="I18" s="309" t="s">
        <v>502</v>
      </c>
      <c r="J18" s="362">
        <v>2.1499999999999998E-2</v>
      </c>
      <c r="K18" s="361">
        <v>507</v>
      </c>
      <c r="L18" s="361">
        <v>609</v>
      </c>
      <c r="M18" s="361">
        <v>727</v>
      </c>
      <c r="N18" s="361">
        <v>741.53</v>
      </c>
      <c r="O18" s="299">
        <f t="shared" si="2"/>
        <v>1.9986244841815642E-2</v>
      </c>
      <c r="P18" s="299">
        <f t="shared" si="3"/>
        <v>0.21761904761904757</v>
      </c>
      <c r="Q18" s="299">
        <f t="shared" si="4"/>
        <v>0.46258382642998025</v>
      </c>
      <c r="R18" s="379"/>
      <c r="S18" s="365">
        <v>26</v>
      </c>
      <c r="T18" s="362" t="s">
        <v>517</v>
      </c>
      <c r="U18" s="362" t="s">
        <v>505</v>
      </c>
      <c r="V18" s="362" t="s">
        <v>505</v>
      </c>
      <c r="W18" s="362" t="s">
        <v>505</v>
      </c>
      <c r="X18" s="321">
        <f>_xlfn.XLOOKUP($C18,Downloads!A$2:A$501,Downloads!B$2:B$501)</f>
        <v>9307</v>
      </c>
      <c r="Y18" s="302"/>
      <c r="Z18" s="302"/>
      <c r="AA18" s="302"/>
      <c r="AB18" s="370" t="s">
        <v>510</v>
      </c>
      <c r="AC18" s="317"/>
      <c r="AD18" s="321" cm="1">
        <f t="array" ref="AD18">_xlfn.XLOOKUP($A18&amp;$C18,Downloads!$G$2:'Downloads'!$G$501&amp;Downloads!$H$2:'Downloads'!$H$501,Downloads!I$2:I$501)</f>
        <v>9688.25</v>
      </c>
      <c r="AE18" s="523" cm="1">
        <f t="array" ref="AE18">_xlfn.XLOOKUP($A18&amp;$C18,Downloads!$G$2:'Downloads'!$G$501&amp;Downloads!$H$2:'Downloads'!$H$501,Downloads!J$2:J$501)</f>
        <v>13</v>
      </c>
      <c r="AF18" s="302" cm="1">
        <f t="array" ref="AF18">_xlfn.XLOOKUP($A18&amp;$C18,Downloads!$G$2:'Downloads'!$G$501&amp;Downloads!$H$2:'Downloads'!$H$501,Downloads!K$2:K$501)</f>
        <v>481.56</v>
      </c>
      <c r="AG18" s="362">
        <f t="shared" si="0"/>
        <v>4.0963790695175674E-2</v>
      </c>
      <c r="AH18" s="361">
        <f t="shared" si="1"/>
        <v>-0.27822375801002669</v>
      </c>
      <c r="AJ18" s="556"/>
      <c r="AK18" s="309"/>
      <c r="AL18" s="309"/>
      <c r="AM18" s="309"/>
      <c r="AN18" s="309"/>
      <c r="AO18" s="309"/>
      <c r="AP18" s="309"/>
      <c r="AQ18" s="309"/>
      <c r="AR18" s="309"/>
    </row>
    <row r="19" spans="1:44" x14ac:dyDescent="0.35">
      <c r="A19" s="309" t="s">
        <v>28</v>
      </c>
      <c r="B19" s="309" t="s">
        <v>496</v>
      </c>
      <c r="C19" s="474" t="s">
        <v>83</v>
      </c>
      <c r="D19" s="372"/>
      <c r="E19" s="376" t="s">
        <v>533</v>
      </c>
      <c r="G19" s="376"/>
      <c r="H19" s="368" t="s">
        <v>534</v>
      </c>
      <c r="I19" s="309"/>
      <c r="J19" s="374"/>
      <c r="K19" s="378"/>
      <c r="L19" s="378"/>
      <c r="M19" s="378"/>
      <c r="N19" s="378"/>
      <c r="O19" s="299"/>
      <c r="P19" s="299"/>
      <c r="Q19" s="299"/>
      <c r="R19" s="374"/>
      <c r="S19" s="375"/>
      <c r="T19" s="374"/>
      <c r="U19" s="374"/>
      <c r="V19" s="374"/>
      <c r="W19" s="374"/>
      <c r="X19" s="321">
        <f>_xlfn.XLOOKUP($C19,Downloads!A$2:A$501,Downloads!B$2:B$501)</f>
        <v>6369</v>
      </c>
      <c r="Y19" s="302"/>
      <c r="Z19" s="302"/>
      <c r="AA19" s="302"/>
      <c r="AB19" s="372"/>
      <c r="AC19" s="376" t="s">
        <v>535</v>
      </c>
      <c r="AD19" s="321" cm="1">
        <f t="array" ref="AD19">_xlfn.XLOOKUP($A19&amp;$C19,Downloads!$G$2:'Downloads'!$G$501&amp;Downloads!$H$2:'Downloads'!$H$501,Downloads!I$2:I$501)</f>
        <v>6384</v>
      </c>
      <c r="AE19" s="523" cm="1">
        <f t="array" ref="AE19">_xlfn.XLOOKUP($A19&amp;$C19,Downloads!$G$2:'Downloads'!$G$501&amp;Downloads!$H$2:'Downloads'!$H$501,Downloads!J$2:J$501)</f>
        <v>300</v>
      </c>
      <c r="AF19" s="302" cm="1">
        <f t="array" ref="AF19">_xlfn.XLOOKUP($A19&amp;$C19,Downloads!$G$2:'Downloads'!$G$501&amp;Downloads!$H$2:'Downloads'!$H$501,Downloads!K$2:K$501)</f>
        <v>24.69</v>
      </c>
      <c r="AG19" s="362">
        <f t="shared" si="0"/>
        <v>2.3551577955723034E-3</v>
      </c>
      <c r="AH19" s="361">
        <f t="shared" si="1"/>
        <v>-1.5996099029670776E-2</v>
      </c>
      <c r="AJ19" s="556"/>
      <c r="AK19" s="309"/>
      <c r="AL19" s="309"/>
      <c r="AM19" s="309"/>
      <c r="AN19" s="309"/>
      <c r="AO19" s="309"/>
      <c r="AP19" s="309"/>
      <c r="AQ19" s="309"/>
      <c r="AR19" s="309"/>
    </row>
    <row r="20" spans="1:44" x14ac:dyDescent="0.35">
      <c r="A20" s="309" t="s">
        <v>28</v>
      </c>
      <c r="B20" s="309" t="s">
        <v>496</v>
      </c>
      <c r="C20" s="368" t="s">
        <v>85</v>
      </c>
      <c r="D20" s="309" t="s">
        <v>497</v>
      </c>
      <c r="E20" s="317" t="s">
        <v>536</v>
      </c>
      <c r="F20" s="317" t="s">
        <v>537</v>
      </c>
      <c r="G20" s="317"/>
      <c r="H20" s="368" t="s">
        <v>501</v>
      </c>
      <c r="I20" s="309" t="s">
        <v>502</v>
      </c>
      <c r="J20" s="362">
        <v>7.4000000000000003E-3</v>
      </c>
      <c r="K20" s="361">
        <v>387</v>
      </c>
      <c r="L20" s="361">
        <v>327</v>
      </c>
      <c r="M20" s="361">
        <v>336</v>
      </c>
      <c r="N20" s="361">
        <v>402.38</v>
      </c>
      <c r="O20" s="299">
        <f t="shared" si="2"/>
        <v>0.1975595238095238</v>
      </c>
      <c r="P20" s="299">
        <f t="shared" si="3"/>
        <v>0.23051987767584098</v>
      </c>
      <c r="Q20" s="299">
        <f t="shared" si="4"/>
        <v>3.9741602067183454E-2</v>
      </c>
      <c r="R20" s="379"/>
      <c r="S20" s="365">
        <v>34</v>
      </c>
      <c r="T20" s="362" t="s">
        <v>503</v>
      </c>
      <c r="U20" s="362" t="s">
        <v>504</v>
      </c>
      <c r="V20" s="362" t="s">
        <v>505</v>
      </c>
      <c r="W20" s="362" t="s">
        <v>505</v>
      </c>
      <c r="X20" s="321">
        <f>_xlfn.XLOOKUP($C20,Downloads!A$2:A$501,Downloads!B$2:B$501)</f>
        <v>24256</v>
      </c>
      <c r="Y20" s="302"/>
      <c r="Z20" s="302"/>
      <c r="AA20" s="302"/>
      <c r="AB20" s="370" t="s">
        <v>510</v>
      </c>
      <c r="AC20" s="317"/>
      <c r="AD20" s="321" cm="1">
        <f t="array" ref="AD20">_xlfn.XLOOKUP($A20&amp;$C20,Downloads!$G$2:'Downloads'!$G$501&amp;Downloads!$H$2:'Downloads'!$H$501,Downloads!I$2:I$501)</f>
        <v>24237.599999999999</v>
      </c>
      <c r="AE20" s="523" cm="1">
        <f t="array" ref="AE20">_xlfn.XLOOKUP($A20&amp;$C20,Downloads!$G$2:'Downloads'!$G$501&amp;Downloads!$H$2:'Downloads'!$H$501,Downloads!J$2:J$501)</f>
        <v>60</v>
      </c>
      <c r="AF20" s="302" cm="1">
        <f t="array" ref="AF20">_xlfn.XLOOKUP($A20&amp;$C20,Downloads!$G$2:'Downloads'!$G$501&amp;Downloads!$H$2:'Downloads'!$H$501,Downloads!K$2:K$501)</f>
        <v>313.93</v>
      </c>
      <c r="AG20" s="362">
        <f t="shared" si="0"/>
        <v>-7.5857519788924204E-4</v>
      </c>
      <c r="AH20" s="361">
        <f t="shared" si="1"/>
        <v>5.1521999968328243E-3</v>
      </c>
      <c r="AJ20" s="556"/>
      <c r="AK20" s="309"/>
      <c r="AL20" s="309"/>
      <c r="AM20" s="309"/>
      <c r="AN20" s="309"/>
      <c r="AO20" s="309"/>
      <c r="AP20" s="309"/>
      <c r="AQ20" s="309"/>
      <c r="AR20" s="309"/>
    </row>
    <row r="21" spans="1:44" x14ac:dyDescent="0.35">
      <c r="A21" s="309" t="s">
        <v>28</v>
      </c>
      <c r="B21" s="309" t="s">
        <v>496</v>
      </c>
      <c r="C21" s="368" t="s">
        <v>86</v>
      </c>
      <c r="D21" s="309" t="s">
        <v>497</v>
      </c>
      <c r="E21" s="317" t="s">
        <v>538</v>
      </c>
      <c r="F21" s="317" t="s">
        <v>539</v>
      </c>
      <c r="G21" s="340" t="s">
        <v>500</v>
      </c>
      <c r="H21" s="368" t="s">
        <v>501</v>
      </c>
      <c r="I21" s="309" t="s">
        <v>502</v>
      </c>
      <c r="J21" s="362">
        <v>2.3199999999999998E-2</v>
      </c>
      <c r="K21" s="361">
        <v>374</v>
      </c>
      <c r="L21" s="361">
        <v>393</v>
      </c>
      <c r="M21" s="361">
        <v>375</v>
      </c>
      <c r="N21" s="361">
        <v>405.11</v>
      </c>
      <c r="O21" s="299">
        <f t="shared" si="2"/>
        <v>8.0293333333333369E-2</v>
      </c>
      <c r="P21" s="299">
        <f t="shared" si="3"/>
        <v>3.0814249363867719E-2</v>
      </c>
      <c r="Q21" s="299">
        <f t="shared" si="4"/>
        <v>8.3181818181818218E-2</v>
      </c>
      <c r="R21" s="379"/>
      <c r="S21" s="365">
        <v>54</v>
      </c>
      <c r="T21" s="362" t="s">
        <v>540</v>
      </c>
      <c r="U21" s="362" t="s">
        <v>505</v>
      </c>
      <c r="V21" s="362" t="s">
        <v>505</v>
      </c>
      <c r="W21" s="362" t="s">
        <v>505</v>
      </c>
      <c r="X21" s="321">
        <f>_xlfn.XLOOKUP($C21,Downloads!A$2:A$501,Downloads!B$2:B$501)</f>
        <v>17897</v>
      </c>
      <c r="Y21" s="302"/>
      <c r="Z21" s="302"/>
      <c r="AA21" s="302"/>
      <c r="AB21" s="370" t="s">
        <v>510</v>
      </c>
      <c r="AC21" s="317"/>
      <c r="AD21" s="321" cm="1">
        <f t="array" ref="AD21">_xlfn.XLOOKUP($A21&amp;$C21,Downloads!$G$2:'Downloads'!$G$501&amp;Downloads!$H$2:'Downloads'!$H$501,Downloads!I$2:I$501)</f>
        <v>18304.650000000001</v>
      </c>
      <c r="AE21" s="523" cm="1">
        <f t="array" ref="AE21">_xlfn.XLOOKUP($A21&amp;$C21,Downloads!$G$2:'Downloads'!$G$501&amp;Downloads!$H$2:'Downloads'!$H$501,Downloads!J$2:J$501)</f>
        <v>45</v>
      </c>
      <c r="AF21" s="302" cm="1">
        <f t="array" ref="AF21">_xlfn.XLOOKUP($A21&amp;$C21,Downloads!$G$2:'Downloads'!$G$501&amp;Downloads!$H$2:'Downloads'!$H$501,Downloads!K$2:K$501)</f>
        <v>273.45</v>
      </c>
      <c r="AG21" s="362">
        <f t="shared" si="0"/>
        <v>2.2777560484997565E-2</v>
      </c>
      <c r="AH21" s="361">
        <f t="shared" si="1"/>
        <v>-0.15470390725297428</v>
      </c>
      <c r="AJ21" s="556"/>
      <c r="AK21" s="309"/>
      <c r="AL21" s="309"/>
      <c r="AM21" s="309"/>
      <c r="AN21" s="309"/>
      <c r="AO21" s="309"/>
      <c r="AP21" s="309"/>
      <c r="AQ21" s="309"/>
      <c r="AR21" s="309"/>
    </row>
    <row r="22" spans="1:44" x14ac:dyDescent="0.35">
      <c r="A22" s="309" t="s">
        <v>28</v>
      </c>
      <c r="B22" s="309" t="s">
        <v>496</v>
      </c>
      <c r="C22" s="368" t="s">
        <v>89</v>
      </c>
      <c r="D22" s="309" t="s">
        <v>541</v>
      </c>
      <c r="E22" s="317" t="s">
        <v>542</v>
      </c>
      <c r="F22" s="317" t="s">
        <v>543</v>
      </c>
      <c r="G22" s="317" t="s">
        <v>544</v>
      </c>
      <c r="H22" s="368" t="s">
        <v>501</v>
      </c>
      <c r="I22" s="309" t="s">
        <v>502</v>
      </c>
      <c r="J22" s="362">
        <v>1.3299999999999999E-2</v>
      </c>
      <c r="K22" s="361">
        <v>61.97</v>
      </c>
      <c r="L22" s="361">
        <v>62.03</v>
      </c>
      <c r="M22" s="361">
        <v>64.36</v>
      </c>
      <c r="N22" s="361">
        <v>65.05</v>
      </c>
      <c r="O22" s="299">
        <f t="shared" si="2"/>
        <v>1.0720944686140425E-2</v>
      </c>
      <c r="P22" s="299">
        <f t="shared" si="3"/>
        <v>4.8686119619538865E-2</v>
      </c>
      <c r="Q22" s="299">
        <f t="shared" si="4"/>
        <v>4.9701468452476978E-2</v>
      </c>
      <c r="R22" s="362">
        <v>3.1300000000000001E-2</v>
      </c>
      <c r="S22" s="381"/>
      <c r="T22" s="379"/>
      <c r="U22" s="362" t="s">
        <v>505</v>
      </c>
      <c r="V22" s="362" t="s">
        <v>505</v>
      </c>
      <c r="W22" s="362" t="s">
        <v>503</v>
      </c>
      <c r="X22" s="321">
        <f>_xlfn.XLOOKUP($C22,Downloads!A$2:A$501,Downloads!B$2:B$501)</f>
        <v>19035</v>
      </c>
      <c r="Y22" s="302"/>
      <c r="Z22" s="302"/>
      <c r="AA22" s="302"/>
      <c r="AB22" s="370" t="s">
        <v>510</v>
      </c>
      <c r="AC22" s="366" t="s">
        <v>545</v>
      </c>
      <c r="AD22" s="321" cm="1">
        <f t="array" ref="AD22">_xlfn.XLOOKUP($A22&amp;$C22,Downloads!$G$2:'Downloads'!$G$501&amp;Downloads!$H$2:'Downloads'!$H$501,Downloads!I$2:I$501)</f>
        <v>19548</v>
      </c>
      <c r="AE22" s="523" cm="1">
        <f t="array" ref="AE22">_xlfn.XLOOKUP($A22&amp;$C22,Downloads!$G$2:'Downloads'!$G$501&amp;Downloads!$H$2:'Downloads'!$H$501,Downloads!J$2:J$501)</f>
        <v>300</v>
      </c>
      <c r="AF22" s="302" cm="1">
        <f t="array" ref="AF22">_xlfn.XLOOKUP($A22&amp;$C22,Downloads!$G$2:'Downloads'!$G$501&amp;Downloads!$H$2:'Downloads'!$H$501,Downloads!K$2:K$501)</f>
        <v>59.5</v>
      </c>
      <c r="AG22" s="362">
        <f t="shared" si="0"/>
        <v>2.6950354609929079E-2</v>
      </c>
      <c r="AH22" s="361">
        <f>IF(B22="US",(AG22)/AG$15,(AG22)/AG$35)</f>
        <v>-0.18304528980420712</v>
      </c>
      <c r="AJ22" s="556"/>
      <c r="AK22" s="309"/>
      <c r="AL22" s="309"/>
      <c r="AM22" s="309"/>
      <c r="AN22" s="309"/>
      <c r="AO22" s="309"/>
      <c r="AP22" s="309"/>
      <c r="AQ22" s="309"/>
      <c r="AR22" s="309"/>
    </row>
    <row r="23" spans="1:44" x14ac:dyDescent="0.35">
      <c r="A23" s="309" t="s">
        <v>28</v>
      </c>
      <c r="B23" s="309" t="s">
        <v>496</v>
      </c>
      <c r="C23" s="368" t="s">
        <v>41</v>
      </c>
      <c r="D23" s="309" t="s">
        <v>541</v>
      </c>
      <c r="E23" s="317" t="s">
        <v>546</v>
      </c>
      <c r="F23" s="317" t="s">
        <v>547</v>
      </c>
      <c r="G23" s="317" t="s">
        <v>548</v>
      </c>
      <c r="H23" s="368" t="s">
        <v>501</v>
      </c>
      <c r="I23" s="309" t="s">
        <v>502</v>
      </c>
      <c r="J23" s="362">
        <v>2.01E-2</v>
      </c>
      <c r="K23" s="382">
        <v>116.63</v>
      </c>
      <c r="L23" s="382">
        <v>112.82</v>
      </c>
      <c r="M23" s="382">
        <v>117.07</v>
      </c>
      <c r="N23" s="382">
        <v>117.83</v>
      </c>
      <c r="O23" s="299">
        <f t="shared" si="2"/>
        <v>6.4918424874007442E-3</v>
      </c>
      <c r="P23" s="299">
        <f t="shared" si="3"/>
        <v>4.4407020031909286E-2</v>
      </c>
      <c r="Q23" s="299">
        <f t="shared" si="4"/>
        <v>1.0288947955071619E-2</v>
      </c>
      <c r="R23" s="362">
        <v>-4.87E-2</v>
      </c>
      <c r="S23" s="381"/>
      <c r="T23" s="379"/>
      <c r="U23" s="362" t="s">
        <v>505</v>
      </c>
      <c r="V23" s="362" t="s">
        <v>505</v>
      </c>
      <c r="W23" s="362" t="s">
        <v>505</v>
      </c>
      <c r="X23" s="321">
        <f>_xlfn.XLOOKUP($C23,Downloads!A$2:A$501,Downloads!B$2:B$501)</f>
        <v>1141</v>
      </c>
      <c r="Y23" s="302"/>
      <c r="Z23" s="302"/>
      <c r="AA23" s="302"/>
      <c r="AB23" s="370" t="s">
        <v>510</v>
      </c>
      <c r="AC23" s="317" t="s">
        <v>549</v>
      </c>
      <c r="AD23" s="321" cm="1">
        <f t="array" ref="AD23">_xlfn.XLOOKUP($A23&amp;$C23,Downloads!$G$2:'Downloads'!$G$501&amp;Downloads!$H$2:'Downloads'!$H$501,Downloads!I$2:I$501)</f>
        <v>10623.6</v>
      </c>
      <c r="AE23" s="523" cm="1">
        <f t="array" ref="AE23">_xlfn.XLOOKUP($A23&amp;$C23,Downloads!$G$2:'Downloads'!$G$501&amp;Downloads!$H$2:'Downloads'!$H$501,Downloads!J$2:J$501)</f>
        <v>90</v>
      </c>
      <c r="AF23" s="302" cm="1">
        <f t="array" ref="AF23">_xlfn.XLOOKUP($A23&amp;$C23,Downloads!$G$2:'Downloads'!$G$501&amp;Downloads!$H$2:'Downloads'!$H$501,Downloads!K$2:K$501)</f>
        <v>116.89</v>
      </c>
      <c r="AG23" s="362">
        <f t="shared" si="0"/>
        <v>8.3107800175284847</v>
      </c>
      <c r="AH23" s="361">
        <f t="shared" si="1"/>
        <v>-56.44634954996306</v>
      </c>
      <c r="AJ23" s="556"/>
      <c r="AK23" s="309"/>
      <c r="AL23" s="309"/>
      <c r="AM23" s="309"/>
      <c r="AN23" s="309"/>
      <c r="AO23" s="309"/>
      <c r="AP23" s="309"/>
      <c r="AQ23" s="309"/>
      <c r="AR23" s="309"/>
    </row>
    <row r="24" spans="1:44" ht="15" customHeight="1" x14ac:dyDescent="0.35">
      <c r="A24" s="309" t="s">
        <v>28</v>
      </c>
      <c r="B24" s="309" t="s">
        <v>496</v>
      </c>
      <c r="C24" s="368" t="s">
        <v>90</v>
      </c>
      <c r="D24" s="309" t="s">
        <v>541</v>
      </c>
      <c r="E24" s="317" t="s">
        <v>550</v>
      </c>
      <c r="F24" s="317" t="s">
        <v>551</v>
      </c>
      <c r="G24" s="317" t="s">
        <v>552</v>
      </c>
      <c r="H24" s="368" t="s">
        <v>501</v>
      </c>
      <c r="I24" s="309" t="s">
        <v>526</v>
      </c>
      <c r="J24" s="362">
        <v>2.47E-2</v>
      </c>
      <c r="K24" s="361">
        <v>65.62</v>
      </c>
      <c r="L24" s="361">
        <v>64.23</v>
      </c>
      <c r="M24" s="361">
        <v>70.61</v>
      </c>
      <c r="N24" s="361">
        <v>72.25</v>
      </c>
      <c r="O24" s="299">
        <f t="shared" si="2"/>
        <v>2.3226171930321494E-2</v>
      </c>
      <c r="P24" s="299">
        <f t="shared" si="3"/>
        <v>0.1248637708236026</v>
      </c>
      <c r="Q24" s="299">
        <f t="shared" si="4"/>
        <v>0.10103626943005174</v>
      </c>
      <c r="R24" s="362">
        <v>0.1108</v>
      </c>
      <c r="S24" s="381"/>
      <c r="T24" s="379"/>
      <c r="U24" s="362" t="s">
        <v>505</v>
      </c>
      <c r="V24" s="362" t="s">
        <v>505</v>
      </c>
      <c r="W24" s="362" t="s">
        <v>505</v>
      </c>
      <c r="X24" s="321">
        <f>_xlfn.XLOOKUP($C24,Downloads!A$2:A$501,Downloads!B$2:B$501)</f>
        <v>21738</v>
      </c>
      <c r="Y24" s="302"/>
      <c r="Z24" s="302"/>
      <c r="AA24" s="302"/>
      <c r="AB24" s="370" t="s">
        <v>510</v>
      </c>
      <c r="AC24" s="317"/>
      <c r="AD24" s="321" cm="1">
        <f t="array" ref="AD24">_xlfn.XLOOKUP($A24&amp;$C24,Downloads!$G$2:'Downloads'!$G$501&amp;Downloads!$H$2:'Downloads'!$H$501,Downloads!I$2:I$501)</f>
        <v>21621</v>
      </c>
      <c r="AE24" s="523" cm="1">
        <f t="array" ref="AE24">_xlfn.XLOOKUP($A24&amp;$C24,Downloads!$G$2:'Downloads'!$G$501&amp;Downloads!$H$2:'Downloads'!$H$501,Downloads!J$2:J$501)</f>
        <v>300</v>
      </c>
      <c r="AF24" s="302" cm="1">
        <f t="array" ref="AF24">_xlfn.XLOOKUP($A24&amp;$C24,Downloads!$G$2:'Downloads'!$G$501&amp;Downloads!$H$2:'Downloads'!$H$501,Downloads!K$2:K$501)</f>
        <v>59.91</v>
      </c>
      <c r="AG24" s="362">
        <f t="shared" si="0"/>
        <v>-5.3822798785536849E-3</v>
      </c>
      <c r="AH24" s="361">
        <f t="shared" si="1"/>
        <v>3.6556141632891288E-2</v>
      </c>
      <c r="AJ24" s="556"/>
      <c r="AK24" s="309"/>
      <c r="AL24" s="309"/>
      <c r="AM24" s="309"/>
      <c r="AN24" s="309"/>
      <c r="AO24" s="309"/>
      <c r="AP24" s="309"/>
      <c r="AQ24" s="309"/>
      <c r="AR24" s="309"/>
    </row>
    <row r="25" spans="1:44" ht="15" customHeight="1" x14ac:dyDescent="0.35">
      <c r="A25" s="309" t="s">
        <v>28</v>
      </c>
      <c r="B25" s="309" t="s">
        <v>496</v>
      </c>
      <c r="C25" s="368" t="s">
        <v>42</v>
      </c>
      <c r="D25" s="309" t="s">
        <v>497</v>
      </c>
      <c r="E25" s="317" t="s">
        <v>553</v>
      </c>
      <c r="F25" s="317" t="s">
        <v>554</v>
      </c>
      <c r="G25" s="340" t="s">
        <v>500</v>
      </c>
      <c r="H25" s="368" t="s">
        <v>501</v>
      </c>
      <c r="I25" s="309" t="s">
        <v>502</v>
      </c>
      <c r="J25" s="362">
        <v>1.9099999999999999E-2</v>
      </c>
      <c r="K25" s="361">
        <v>219.06</v>
      </c>
      <c r="L25" s="361">
        <v>257.58</v>
      </c>
      <c r="M25" s="361">
        <v>298.05</v>
      </c>
      <c r="N25" s="361">
        <v>296.18</v>
      </c>
      <c r="O25" s="299">
        <f t="shared" si="2"/>
        <v>-6.2741150813622028E-3</v>
      </c>
      <c r="P25" s="299">
        <f t="shared" si="3"/>
        <v>0.14985635530708916</v>
      </c>
      <c r="Q25" s="299">
        <f t="shared" si="4"/>
        <v>0.3520496667579659</v>
      </c>
      <c r="R25" s="379"/>
      <c r="S25" s="365">
        <v>21</v>
      </c>
      <c r="T25" s="362" t="s">
        <v>517</v>
      </c>
      <c r="U25" s="362" t="s">
        <v>505</v>
      </c>
      <c r="V25" s="362" t="s">
        <v>505</v>
      </c>
      <c r="W25" s="362" t="s">
        <v>505</v>
      </c>
      <c r="X25" s="321">
        <f>_xlfn.XLOOKUP($C25,Downloads!A$2:A$501,Downloads!B$2:B$501)</f>
        <v>16031</v>
      </c>
      <c r="Y25" s="302"/>
      <c r="Z25" s="302"/>
      <c r="AA25" s="302"/>
      <c r="AB25" s="370" t="s">
        <v>510</v>
      </c>
      <c r="AC25" s="366" t="s">
        <v>555</v>
      </c>
      <c r="AD25" s="321" cm="1">
        <f t="array" ref="AD25">_xlfn.XLOOKUP($A25&amp;$C25,Downloads!$G$2:'Downloads'!$G$501&amp;Downloads!$H$2:'Downloads'!$H$501,Downloads!I$2:I$501)</f>
        <v>16494</v>
      </c>
      <c r="AE25" s="523" cm="1">
        <f t="array" ref="AE25">_xlfn.XLOOKUP($A25&amp;$C25,Downloads!$G$2:'Downloads'!$G$501&amp;Downloads!$H$2:'Downloads'!$H$501,Downloads!J$2:J$501)</f>
        <v>54.720999999999997</v>
      </c>
      <c r="AF25" s="302" cm="1">
        <f t="array" ref="AF25">_xlfn.XLOOKUP($A25&amp;$C25,Downloads!$G$2:'Downloads'!$G$501&amp;Downloads!$H$2:'Downloads'!$H$501,Downloads!K$2:K$501)</f>
        <v>300.38</v>
      </c>
      <c r="AG25" s="362">
        <f t="shared" si="0"/>
        <v>2.8881542012351071E-2</v>
      </c>
      <c r="AH25" s="361">
        <f t="shared" si="1"/>
        <v>-0.19616180581518133</v>
      </c>
      <c r="AJ25" s="556"/>
      <c r="AK25" s="309"/>
      <c r="AL25" s="309"/>
      <c r="AM25" s="309"/>
      <c r="AN25" s="309"/>
      <c r="AO25" s="309"/>
      <c r="AP25" s="309"/>
      <c r="AQ25" s="309"/>
      <c r="AR25" s="309"/>
    </row>
    <row r="26" spans="1:44" x14ac:dyDescent="0.35">
      <c r="A26" s="309" t="s">
        <v>28</v>
      </c>
      <c r="B26" s="309" t="s">
        <v>496</v>
      </c>
      <c r="C26" s="368" t="s">
        <v>43</v>
      </c>
      <c r="D26" s="309" t="s">
        <v>497</v>
      </c>
      <c r="E26" s="317" t="s">
        <v>556</v>
      </c>
      <c r="F26" s="317" t="s">
        <v>499</v>
      </c>
      <c r="G26" s="340" t="s">
        <v>500</v>
      </c>
      <c r="H26" s="368" t="s">
        <v>501</v>
      </c>
      <c r="I26" s="309" t="s">
        <v>502</v>
      </c>
      <c r="J26" s="362">
        <v>6.6E-3</v>
      </c>
      <c r="K26" s="365">
        <v>414</v>
      </c>
      <c r="L26" s="365">
        <v>397</v>
      </c>
      <c r="M26" s="365">
        <v>513</v>
      </c>
      <c r="N26" s="365">
        <v>503</v>
      </c>
      <c r="O26" s="299">
        <f t="shared" si="2"/>
        <v>-1.9493177387914229E-2</v>
      </c>
      <c r="P26" s="299">
        <f t="shared" si="3"/>
        <v>0.26700251889168763</v>
      </c>
      <c r="Q26" s="299">
        <f t="shared" si="4"/>
        <v>0.21497584541062803</v>
      </c>
      <c r="R26" s="379"/>
      <c r="S26" s="365">
        <v>69</v>
      </c>
      <c r="T26" s="362" t="s">
        <v>517</v>
      </c>
      <c r="U26" s="362" t="s">
        <v>504</v>
      </c>
      <c r="V26" s="362" t="s">
        <v>504</v>
      </c>
      <c r="W26" s="362" t="s">
        <v>505</v>
      </c>
      <c r="X26" s="321">
        <f>_xlfn.XLOOKUP($C26,Downloads!A$2:A$501,Downloads!B$2:B$501)</f>
        <v>15127</v>
      </c>
      <c r="Y26" s="302"/>
      <c r="Z26" s="302"/>
      <c r="AA26" s="302"/>
      <c r="AB26" s="370" t="s">
        <v>510</v>
      </c>
      <c r="AC26" s="369"/>
      <c r="AD26" s="321" cm="1">
        <f t="array" ref="AD26">_xlfn.XLOOKUP($A26&amp;$C26,Downloads!$G$2:'Downloads'!$G$501&amp;Downloads!$H$2:'Downloads'!$H$501,Downloads!I$2:I$501)</f>
        <v>15019.3</v>
      </c>
      <c r="AE26" s="523" cm="1">
        <f t="array" ref="AE26">_xlfn.XLOOKUP($A26&amp;$C26,Downloads!$G$2:'Downloads'!$G$501&amp;Downloads!$H$2:'Downloads'!$H$501,Downloads!J$2:J$501)</f>
        <v>29.641999999999999</v>
      </c>
      <c r="AF26" s="302" cm="1">
        <f t="array" ref="AF26">_xlfn.XLOOKUP($A26&amp;$C26,Downloads!$G$2:'Downloads'!$G$501&amp;Downloads!$H$2:'Downloads'!$H$501,Downloads!K$2:K$501)</f>
        <v>506.11</v>
      </c>
      <c r="AG26" s="362">
        <f t="shared" si="0"/>
        <v>-7.1197197064851413E-3</v>
      </c>
      <c r="AH26" s="361">
        <f t="shared" si="1"/>
        <v>4.8356735035989445E-2</v>
      </c>
      <c r="AJ26" s="556"/>
      <c r="AK26" s="309"/>
      <c r="AL26" s="309"/>
      <c r="AM26" s="309"/>
      <c r="AN26" s="309"/>
      <c r="AO26" s="309"/>
      <c r="AP26" s="309"/>
      <c r="AQ26" s="309"/>
      <c r="AR26" s="309"/>
    </row>
    <row r="27" spans="1:44" x14ac:dyDescent="0.35">
      <c r="A27" s="309" t="s">
        <v>28</v>
      </c>
      <c r="B27" s="309" t="s">
        <v>496</v>
      </c>
      <c r="C27" s="368" t="s">
        <v>99</v>
      </c>
      <c r="D27" s="309" t="s">
        <v>497</v>
      </c>
      <c r="E27" s="317" t="s">
        <v>99</v>
      </c>
      <c r="F27" s="317" t="s">
        <v>557</v>
      </c>
      <c r="G27" s="340" t="s">
        <v>500</v>
      </c>
      <c r="H27" s="368" t="s">
        <v>501</v>
      </c>
      <c r="I27" s="309" t="s">
        <v>502</v>
      </c>
      <c r="J27" s="362">
        <v>2.9499999999999998E-2</v>
      </c>
      <c r="K27" s="361">
        <v>31.86</v>
      </c>
      <c r="L27" s="361">
        <v>34.869999999999997</v>
      </c>
      <c r="M27" s="361">
        <v>36.14</v>
      </c>
      <c r="N27" s="361">
        <v>36.44</v>
      </c>
      <c r="O27" s="299">
        <f t="shared" si="2"/>
        <v>8.3010514665190129E-3</v>
      </c>
      <c r="P27" s="299">
        <f t="shared" si="3"/>
        <v>4.502437625466018E-2</v>
      </c>
      <c r="Q27" s="299">
        <f t="shared" si="4"/>
        <v>0.14375392341494031</v>
      </c>
      <c r="R27" s="379"/>
      <c r="S27" s="365">
        <v>30</v>
      </c>
      <c r="T27" s="362" t="s">
        <v>503</v>
      </c>
      <c r="U27" s="362" t="s">
        <v>505</v>
      </c>
      <c r="V27" s="362" t="s">
        <v>505</v>
      </c>
      <c r="W27" s="362" t="s">
        <v>505</v>
      </c>
      <c r="X27" s="321">
        <f>_xlfn.XLOOKUP($C27,Downloads!A$2:A$501,Downloads!B$2:B$501)</f>
        <v>23134</v>
      </c>
      <c r="Y27" s="302"/>
      <c r="Z27" s="302"/>
      <c r="AA27" s="302"/>
      <c r="AB27" s="367" t="s">
        <v>506</v>
      </c>
      <c r="AC27" s="317"/>
      <c r="AD27" s="321" cm="1">
        <f t="array" ref="AD27">_xlfn.XLOOKUP($A27&amp;$C27,Downloads!$G$2:'Downloads'!$G$501&amp;Downloads!$H$2:'Downloads'!$H$501,Downloads!I$2:I$501)</f>
        <v>22976.1</v>
      </c>
      <c r="AE27" s="523" cm="1">
        <f t="array" ref="AE27">_xlfn.XLOOKUP($A27&amp;$C27,Downloads!$G$2:'Downloads'!$G$501&amp;Downloads!$H$2:'Downloads'!$H$501,Downloads!J$2:J$501)</f>
        <v>630</v>
      </c>
      <c r="AF27" s="302" cm="1">
        <f t="array" ref="AF27">_xlfn.XLOOKUP($A27&amp;$C27,Downloads!$G$2:'Downloads'!$G$501&amp;Downloads!$H$2:'Downloads'!$H$501,Downloads!K$2:K$501)</f>
        <v>28.82</v>
      </c>
      <c r="AG27" s="362">
        <f t="shared" si="0"/>
        <v>-6.8254517160889362E-3</v>
      </c>
      <c r="AH27" s="361">
        <f t="shared" si="1"/>
        <v>4.6358083427808741E-2</v>
      </c>
      <c r="AJ27" s="556"/>
      <c r="AK27" s="309"/>
      <c r="AL27" s="309"/>
      <c r="AM27" s="309"/>
      <c r="AN27" s="309"/>
      <c r="AO27" s="309"/>
      <c r="AP27" s="309"/>
      <c r="AQ27" s="309"/>
      <c r="AR27" s="309"/>
    </row>
    <row r="28" spans="1:44" x14ac:dyDescent="0.35">
      <c r="A28" s="309" t="s">
        <v>28</v>
      </c>
      <c r="B28" s="309" t="s">
        <v>496</v>
      </c>
      <c r="C28" s="368" t="s">
        <v>104</v>
      </c>
      <c r="D28" s="309" t="s">
        <v>497</v>
      </c>
      <c r="E28" s="317" t="s">
        <v>558</v>
      </c>
      <c r="F28" s="317" t="s">
        <v>559</v>
      </c>
      <c r="G28" s="340" t="s">
        <v>500</v>
      </c>
      <c r="H28" s="368" t="s">
        <v>501</v>
      </c>
      <c r="I28" s="309" t="s">
        <v>516</v>
      </c>
      <c r="J28" s="362">
        <v>0</v>
      </c>
      <c r="K28" s="361">
        <v>71</v>
      </c>
      <c r="L28" s="361">
        <v>75</v>
      </c>
      <c r="M28" s="361">
        <v>91</v>
      </c>
      <c r="N28" s="361">
        <v>95.88</v>
      </c>
      <c r="O28" s="299">
        <f t="shared" si="2"/>
        <v>5.3626373626373576E-2</v>
      </c>
      <c r="P28" s="299">
        <f t="shared" si="3"/>
        <v>0.27839999999999993</v>
      </c>
      <c r="Q28" s="299">
        <f t="shared" si="4"/>
        <v>0.35042253521126754</v>
      </c>
      <c r="R28" s="379"/>
      <c r="S28" s="365">
        <v>64</v>
      </c>
      <c r="T28" s="362" t="s">
        <v>517</v>
      </c>
      <c r="U28" s="362" t="s">
        <v>505</v>
      </c>
      <c r="V28" s="362" t="s">
        <v>505</v>
      </c>
      <c r="W28" s="362" t="s">
        <v>505</v>
      </c>
      <c r="X28" s="321">
        <f>_xlfn.XLOOKUP($C28,Downloads!A$2:A$501,Downloads!B$2:B$501)</f>
        <v>23558</v>
      </c>
      <c r="Y28" s="302"/>
      <c r="Z28" s="302"/>
      <c r="AA28" s="302"/>
      <c r="AB28" s="370" t="s">
        <v>510</v>
      </c>
      <c r="AC28" s="317"/>
      <c r="AD28" s="321" cm="1">
        <f t="array" ref="AD28">_xlfn.XLOOKUP($A28&amp;$C28,Downloads!$G$2:'Downloads'!$G$501&amp;Downloads!$H$2:'Downloads'!$H$501,Downloads!I$2:I$501)</f>
        <v>23437.5</v>
      </c>
      <c r="AE28" s="523" cm="1">
        <f t="array" ref="AE28">_xlfn.XLOOKUP($A28&amp;$C28,Downloads!$G$2:'Downloads'!$G$501&amp;Downloads!$H$2:'Downloads'!$H$501,Downloads!J$2:J$501)</f>
        <v>250</v>
      </c>
      <c r="AF28" s="302" cm="1">
        <f t="array" ref="AF28">_xlfn.XLOOKUP($A28&amp;$C28,Downloads!$G$2:'Downloads'!$G$501&amp;Downloads!$H$2:'Downloads'!$H$501,Downloads!K$2:K$501)</f>
        <v>68.239999999999995</v>
      </c>
      <c r="AG28" s="362">
        <f t="shared" si="0"/>
        <v>-5.115035232192886E-3</v>
      </c>
      <c r="AH28" s="361">
        <f t="shared" si="1"/>
        <v>3.4741031054579527E-2</v>
      </c>
      <c r="AJ28" s="556"/>
      <c r="AK28" s="309"/>
      <c r="AL28" s="309"/>
      <c r="AM28" s="309"/>
      <c r="AN28" s="309"/>
      <c r="AO28" s="309"/>
      <c r="AP28" s="309"/>
      <c r="AQ28" s="309"/>
      <c r="AR28" s="309"/>
    </row>
    <row r="29" spans="1:44" ht="18.5" x14ac:dyDescent="0.35">
      <c r="A29" s="309" t="s">
        <v>28</v>
      </c>
      <c r="B29" s="309" t="s">
        <v>496</v>
      </c>
      <c r="C29" s="368" t="s">
        <v>106</v>
      </c>
      <c r="D29" s="309" t="s">
        <v>497</v>
      </c>
      <c r="E29" s="317" t="s">
        <v>560</v>
      </c>
      <c r="F29" s="317" t="s">
        <v>561</v>
      </c>
      <c r="G29" s="340" t="s">
        <v>500</v>
      </c>
      <c r="H29" s="525" t="s">
        <v>513</v>
      </c>
      <c r="I29" s="309" t="s">
        <v>516</v>
      </c>
      <c r="J29" s="362">
        <v>0</v>
      </c>
      <c r="K29" s="361">
        <v>350</v>
      </c>
      <c r="L29" s="361">
        <v>322</v>
      </c>
      <c r="M29" s="361">
        <v>302</v>
      </c>
      <c r="N29" s="361">
        <v>306.26</v>
      </c>
      <c r="O29" s="299">
        <f t="shared" si="2"/>
        <v>1.4105960264900632E-2</v>
      </c>
      <c r="P29" s="299">
        <f t="shared" si="3"/>
        <v>-4.8881987577639778E-2</v>
      </c>
      <c r="Q29" s="299">
        <f t="shared" si="4"/>
        <v>-0.12497142857142859</v>
      </c>
      <c r="R29" s="379"/>
      <c r="S29" s="365">
        <v>96</v>
      </c>
      <c r="T29" s="362" t="s">
        <v>517</v>
      </c>
      <c r="U29" s="362" t="s">
        <v>505</v>
      </c>
      <c r="V29" s="362" t="s">
        <v>505</v>
      </c>
      <c r="W29" s="362" t="s">
        <v>504</v>
      </c>
      <c r="X29" s="321">
        <f>_xlfn.XLOOKUP($C29,Downloads!A$2:A$501,Downloads!B$2:B$501)</f>
        <v>8077</v>
      </c>
      <c r="Y29" s="302"/>
      <c r="Z29" s="302"/>
      <c r="AA29" s="302"/>
      <c r="AB29" s="370" t="s">
        <v>510</v>
      </c>
      <c r="AC29" s="317"/>
      <c r="AD29" s="321" cm="1">
        <f t="array" ref="AD29">_xlfn.XLOOKUP($A29&amp;$C29,Downloads!$G$2:'Downloads'!$G$501&amp;Downloads!$H$2:'Downloads'!$H$501,Downloads!I$2:I$501)</f>
        <v>7923.76</v>
      </c>
      <c r="AE29" s="523" cm="1">
        <f t="array" ref="AE29">_xlfn.XLOOKUP($A29&amp;$C29,Downloads!$G$2:'Downloads'!$G$501&amp;Downloads!$H$2:'Downloads'!$H$501,Downloads!J$2:J$501)</f>
        <v>26</v>
      </c>
      <c r="AF29" s="302" cm="1">
        <f t="array" ref="AF29">_xlfn.XLOOKUP($A29&amp;$C29,Downloads!$G$2:'Downloads'!$G$501&amp;Downloads!$H$2:'Downloads'!$H$501,Downloads!K$2:K$501)</f>
        <v>346.83</v>
      </c>
      <c r="AG29" s="362">
        <f t="shared" si="0"/>
        <v>-1.8972390739135789E-2</v>
      </c>
      <c r="AH29" s="361">
        <f t="shared" si="1"/>
        <v>0.12885940876801341</v>
      </c>
      <c r="AJ29" s="556"/>
      <c r="AK29" s="309"/>
      <c r="AL29" s="309"/>
      <c r="AM29" s="309"/>
      <c r="AN29" s="309"/>
      <c r="AO29" s="309"/>
      <c r="AP29" s="309"/>
      <c r="AQ29" s="309"/>
      <c r="AR29" s="309"/>
    </row>
    <row r="30" spans="1:44" x14ac:dyDescent="0.35">
      <c r="A30" s="309" t="s">
        <v>28</v>
      </c>
      <c r="B30" s="309" t="s">
        <v>496</v>
      </c>
      <c r="C30" s="368" t="s">
        <v>113</v>
      </c>
      <c r="D30" s="309" t="s">
        <v>541</v>
      </c>
      <c r="E30" s="317" t="s">
        <v>562</v>
      </c>
      <c r="F30" s="317" t="s">
        <v>563</v>
      </c>
      <c r="G30" s="383" t="s">
        <v>564</v>
      </c>
      <c r="H30" s="368" t="s">
        <v>534</v>
      </c>
      <c r="I30" s="309" t="s">
        <v>502</v>
      </c>
      <c r="J30" s="362">
        <v>3.78E-2</v>
      </c>
      <c r="K30" s="361">
        <v>94.75</v>
      </c>
      <c r="L30" s="361">
        <v>92.96</v>
      </c>
      <c r="M30" s="361">
        <v>90.95</v>
      </c>
      <c r="N30" s="361">
        <v>91.42</v>
      </c>
      <c r="O30" s="299">
        <f t="shared" si="2"/>
        <v>5.1676745464540831E-3</v>
      </c>
      <c r="P30" s="299">
        <f t="shared" si="3"/>
        <v>-1.6566265060240878E-2</v>
      </c>
      <c r="Q30" s="299">
        <f t="shared" si="4"/>
        <v>-3.5145118733509215E-2</v>
      </c>
      <c r="R30" s="362">
        <v>2.4199999999999999E-2</v>
      </c>
      <c r="S30" s="381"/>
      <c r="T30" s="379"/>
      <c r="U30" s="362" t="s">
        <v>505</v>
      </c>
      <c r="V30" s="362" t="s">
        <v>505</v>
      </c>
      <c r="W30" s="362" t="s">
        <v>505</v>
      </c>
      <c r="X30" s="321">
        <f>_xlfn.XLOOKUP($C30,Downloads!A$2:A$501,Downloads!B$2:B$501)</f>
        <v>17634</v>
      </c>
      <c r="Y30" s="302"/>
      <c r="Z30" s="302"/>
      <c r="AA30" s="302"/>
      <c r="AB30" s="367" t="s">
        <v>506</v>
      </c>
      <c r="AC30" s="317" t="s">
        <v>565</v>
      </c>
      <c r="AD30" s="321" cm="1">
        <f t="array" ref="AD30">_xlfn.XLOOKUP($A30&amp;$C30,Downloads!$G$2:'Downloads'!$G$501&amp;Downloads!$H$2:'Downloads'!$H$501,Downloads!I$2:I$501)</f>
        <v>17986.8</v>
      </c>
      <c r="AE30" s="523" cm="1">
        <f t="array" ref="AE30">_xlfn.XLOOKUP($A30&amp;$C30,Downloads!$G$2:'Downloads'!$G$501&amp;Downloads!$H$2:'Downloads'!$H$501,Downloads!J$2:J$501)</f>
        <v>195</v>
      </c>
      <c r="AF30" s="302" cm="1">
        <f t="array" ref="AF30">_xlfn.XLOOKUP($A30&amp;$C30,Downloads!$G$2:'Downloads'!$G$501&amp;Downloads!$H$2:'Downloads'!$H$501,Downloads!K$2:K$501)</f>
        <v>89.73</v>
      </c>
      <c r="AG30" s="362">
        <f t="shared" si="0"/>
        <v>2.0006805035726397E-2</v>
      </c>
      <c r="AH30" s="361">
        <f t="shared" si="1"/>
        <v>-0.13588509237914054</v>
      </c>
      <c r="AJ30" s="556"/>
      <c r="AK30" s="309"/>
      <c r="AL30" s="309"/>
      <c r="AM30" s="309"/>
      <c r="AN30" s="309"/>
      <c r="AO30" s="309"/>
      <c r="AP30" s="309"/>
      <c r="AQ30" s="309"/>
      <c r="AR30" s="309"/>
    </row>
    <row r="31" spans="1:44" ht="29" x14ac:dyDescent="0.35">
      <c r="A31" s="309" t="s">
        <v>28</v>
      </c>
      <c r="B31" s="309" t="s">
        <v>496</v>
      </c>
      <c r="C31" s="368" t="s">
        <v>116</v>
      </c>
      <c r="D31" s="309" t="s">
        <v>497</v>
      </c>
      <c r="E31" s="369" t="s">
        <v>566</v>
      </c>
      <c r="F31" s="369"/>
      <c r="G31" s="369"/>
      <c r="H31" s="368" t="s">
        <v>501</v>
      </c>
      <c r="I31" s="309"/>
      <c r="J31" s="362">
        <v>2.2599999999999999E-2</v>
      </c>
      <c r="K31" s="361"/>
      <c r="L31" s="361"/>
      <c r="M31" s="361"/>
      <c r="N31" s="361"/>
      <c r="O31" s="299"/>
      <c r="P31" s="299"/>
      <c r="Q31" s="299"/>
      <c r="R31" s="362"/>
      <c r="S31" s="309"/>
      <c r="T31" s="309"/>
      <c r="U31" s="309"/>
      <c r="V31" s="309"/>
      <c r="W31" s="309"/>
      <c r="X31" s="321">
        <f>_xlfn.XLOOKUP($C31,Downloads!A$2:A$501,Downloads!B$2:B$501)</f>
        <v>19680</v>
      </c>
      <c r="Y31" s="302"/>
      <c r="Z31" s="302"/>
      <c r="AA31" s="302"/>
      <c r="AB31" s="370" t="s">
        <v>510</v>
      </c>
      <c r="AC31" s="317" t="s">
        <v>567</v>
      </c>
      <c r="AD31" s="321" cm="1">
        <f t="array" ref="AD31">_xlfn.XLOOKUP($A31&amp;$C31,Downloads!$G$2:'Downloads'!$G$501&amp;Downloads!$H$2:'Downloads'!$H$501,Downloads!I$2:I$501)</f>
        <v>19440</v>
      </c>
      <c r="AE31" s="523" cm="1">
        <f t="array" ref="AE31">_xlfn.XLOOKUP($A31&amp;$C31,Downloads!$G$2:'Downloads'!$G$501&amp;Downloads!$H$2:'Downloads'!$H$501,Downloads!J$2:J$501)</f>
        <v>16</v>
      </c>
      <c r="AF31" s="302" cm="1">
        <f t="array" ref="AF31">_xlfn.XLOOKUP($A31&amp;$C31,Downloads!$G$2:'Downloads'!$G$501&amp;Downloads!$H$2:'Downloads'!$H$501,Downloads!K$2:K$501)</f>
        <v>1333.11</v>
      </c>
      <c r="AG31" s="362">
        <f t="shared" si="0"/>
        <v>-1.2195121951219513E-2</v>
      </c>
      <c r="AH31" s="361">
        <f t="shared" si="1"/>
        <v>8.282858107314893E-2</v>
      </c>
      <c r="AJ31" s="556"/>
      <c r="AK31" s="309"/>
      <c r="AL31" s="309"/>
      <c r="AM31" s="309"/>
      <c r="AN31" s="309"/>
      <c r="AO31" s="309"/>
      <c r="AP31" s="309"/>
      <c r="AQ31" s="309"/>
      <c r="AR31" s="309"/>
    </row>
    <row r="32" spans="1:44" ht="15" customHeight="1" x14ac:dyDescent="0.35">
      <c r="A32" s="309" t="s">
        <v>28</v>
      </c>
      <c r="B32" s="309" t="s">
        <v>496</v>
      </c>
      <c r="C32" s="368" t="s">
        <v>117</v>
      </c>
      <c r="D32" s="309" t="s">
        <v>497</v>
      </c>
      <c r="E32" s="317" t="s">
        <v>568</v>
      </c>
      <c r="F32" s="317" t="s">
        <v>569</v>
      </c>
      <c r="G32" s="340" t="s">
        <v>500</v>
      </c>
      <c r="H32" s="368" t="s">
        <v>501</v>
      </c>
      <c r="I32" s="309" t="s">
        <v>502</v>
      </c>
      <c r="J32" s="362">
        <v>1.4200000000000001E-2</v>
      </c>
      <c r="K32" s="361">
        <v>210</v>
      </c>
      <c r="L32" s="361">
        <v>228</v>
      </c>
      <c r="M32" s="361">
        <v>228</v>
      </c>
      <c r="N32" s="361">
        <v>224.83</v>
      </c>
      <c r="O32" s="299">
        <f t="shared" si="2"/>
        <v>-1.390350877192977E-2</v>
      </c>
      <c r="P32" s="299">
        <f t="shared" si="3"/>
        <v>-1.390350877192977E-2</v>
      </c>
      <c r="Q32" s="299">
        <f t="shared" si="4"/>
        <v>7.0619047619047678E-2</v>
      </c>
      <c r="R32" s="362"/>
      <c r="S32" s="365">
        <v>49</v>
      </c>
      <c r="T32" s="362" t="s">
        <v>503</v>
      </c>
      <c r="U32" s="362" t="s">
        <v>504</v>
      </c>
      <c r="V32" s="362" t="s">
        <v>504</v>
      </c>
      <c r="W32" s="362" t="s">
        <v>504</v>
      </c>
      <c r="X32" s="321">
        <f>_xlfn.XLOOKUP($C32,Downloads!A$2:A$501,Downloads!B$2:B$501)</f>
        <v>26405</v>
      </c>
      <c r="Y32" s="302"/>
      <c r="Z32" s="302"/>
      <c r="AA32" s="302"/>
      <c r="AB32" s="367" t="s">
        <v>506</v>
      </c>
      <c r="AC32" s="317" t="s">
        <v>570</v>
      </c>
      <c r="AD32" s="321" cm="1">
        <f t="array" ref="AD32">_xlfn.XLOOKUP($A32&amp;$C32,Downloads!$G$2:'Downloads'!$G$501&amp;Downloads!$H$2:'Downloads'!$H$501,Downloads!I$2:I$501)</f>
        <v>26034.85</v>
      </c>
      <c r="AE32" s="523" cm="1">
        <f t="array" ref="AE32">_xlfn.XLOOKUP($A32&amp;$C32,Downloads!$G$2:'Downloads'!$G$501&amp;Downloads!$H$2:'Downloads'!$H$501,Downloads!J$2:J$501)</f>
        <v>115</v>
      </c>
      <c r="AF32" s="302" cm="1">
        <f t="array" ref="AF32">_xlfn.XLOOKUP($A32&amp;$C32,Downloads!$G$2:'Downloads'!$G$501&amp;Downloads!$H$2:'Downloads'!$H$501,Downloads!K$2:K$501)</f>
        <v>134.4</v>
      </c>
      <c r="AG32" s="362">
        <f t="shared" si="0"/>
        <v>-1.4018178375307761E-2</v>
      </c>
      <c r="AH32" s="361">
        <f t="shared" si="1"/>
        <v>9.5210677572677441E-2</v>
      </c>
      <c r="AJ32" s="556"/>
      <c r="AK32" s="309"/>
      <c r="AL32" s="309"/>
      <c r="AM32" s="309"/>
      <c r="AN32" s="309"/>
      <c r="AO32" s="309"/>
      <c r="AP32" s="309"/>
      <c r="AQ32" s="309"/>
      <c r="AR32" s="309"/>
    </row>
    <row r="33" spans="1:44" x14ac:dyDescent="0.35">
      <c r="A33" s="309" t="s">
        <v>28</v>
      </c>
      <c r="B33" s="309" t="s">
        <v>571</v>
      </c>
      <c r="C33" s="368" t="s">
        <v>70</v>
      </c>
      <c r="D33" s="309" t="s">
        <v>497</v>
      </c>
      <c r="E33" s="317" t="s">
        <v>572</v>
      </c>
      <c r="F33" s="317" t="s">
        <v>573</v>
      </c>
      <c r="G33" s="340" t="s">
        <v>500</v>
      </c>
      <c r="H33" s="368" t="s">
        <v>501</v>
      </c>
      <c r="I33" s="309" t="s">
        <v>502</v>
      </c>
      <c r="J33" s="362">
        <v>1.32E-2</v>
      </c>
      <c r="K33" s="361">
        <v>90</v>
      </c>
      <c r="L33" s="361">
        <v>102</v>
      </c>
      <c r="M33" s="361">
        <v>99</v>
      </c>
      <c r="N33" s="361">
        <v>114.05</v>
      </c>
      <c r="O33" s="299">
        <f t="shared" si="2"/>
        <v>0.152020202020202</v>
      </c>
      <c r="P33" s="299">
        <f t="shared" si="3"/>
        <v>0.11813725490196075</v>
      </c>
      <c r="Q33" s="299">
        <f t="shared" si="4"/>
        <v>0.26722222222222219</v>
      </c>
      <c r="R33" s="379"/>
      <c r="S33" s="365">
        <v>63</v>
      </c>
      <c r="T33" s="379"/>
      <c r="U33" s="362" t="s">
        <v>505</v>
      </c>
      <c r="V33" s="362" t="s">
        <v>505</v>
      </c>
      <c r="W33" s="362" t="s">
        <v>505</v>
      </c>
      <c r="X33" s="321">
        <f>_xlfn.XLOOKUP($C33,Downloads!A$2:A$501,Downloads!B$2:B$501)</f>
        <v>11072</v>
      </c>
      <c r="Y33" s="302"/>
      <c r="Z33" s="302"/>
      <c r="AA33" s="302"/>
      <c r="AB33" s="370" t="s">
        <v>510</v>
      </c>
      <c r="AC33" s="317"/>
      <c r="AD33" s="321" cm="1">
        <f t="array" ref="AD33">_xlfn.XLOOKUP($A33&amp;$C33,Downloads!$G$2:'Downloads'!$G$501&amp;Downloads!$H$2:'Downloads'!$H$501,Downloads!I$2:I$501)</f>
        <v>11295</v>
      </c>
      <c r="AE33" s="523" cm="1">
        <f t="array" ref="AE33">_xlfn.XLOOKUP($A33&amp;$C33,Downloads!$G$2:'Downloads'!$G$501&amp;Downloads!$H$2:'Downloads'!$H$501,Downloads!J$2:J$501)</f>
        <v>100</v>
      </c>
      <c r="AF33" s="302" cm="1">
        <f t="array" ref="AF33">_xlfn.XLOOKUP($A33&amp;$C33,Downloads!$G$2:'Downloads'!$G$501&amp;Downloads!$H$2:'Downloads'!$H$501,Downloads!K$2:K$501)</f>
        <v>96.7</v>
      </c>
      <c r="AG33" s="362">
        <f t="shared" si="0"/>
        <v>2.0140895953757225E-2</v>
      </c>
      <c r="AH33" s="361">
        <f t="shared" si="1"/>
        <v>-2.1840430926753474E-2</v>
      </c>
      <c r="AJ33" s="556"/>
      <c r="AK33" s="309"/>
      <c r="AL33" s="309"/>
      <c r="AM33" s="309"/>
      <c r="AN33" s="309"/>
      <c r="AO33" s="309"/>
      <c r="AP33" s="309"/>
      <c r="AQ33" s="309"/>
      <c r="AR33" s="309"/>
    </row>
    <row r="34" spans="1:44" x14ac:dyDescent="0.35">
      <c r="A34" s="309" t="s">
        <v>28</v>
      </c>
      <c r="B34" s="309" t="s">
        <v>571</v>
      </c>
      <c r="C34" s="368" t="s">
        <v>75</v>
      </c>
      <c r="D34" s="309" t="s">
        <v>541</v>
      </c>
      <c r="E34" s="317" t="s">
        <v>574</v>
      </c>
      <c r="F34" s="317" t="s">
        <v>575</v>
      </c>
      <c r="G34" s="317" t="s">
        <v>576</v>
      </c>
      <c r="H34" s="368" t="s">
        <v>501</v>
      </c>
      <c r="I34" s="362" t="s">
        <v>577</v>
      </c>
      <c r="J34" s="362">
        <v>2.86E-2</v>
      </c>
      <c r="K34" s="361">
        <v>76.22</v>
      </c>
      <c r="L34" s="361">
        <v>75.89</v>
      </c>
      <c r="M34" s="361">
        <v>83.13</v>
      </c>
      <c r="N34" s="361">
        <v>85.09</v>
      </c>
      <c r="O34" s="299">
        <f t="shared" si="2"/>
        <v>2.357752917117777E-2</v>
      </c>
      <c r="P34" s="299">
        <f t="shared" si="3"/>
        <v>0.121228093292924</v>
      </c>
      <c r="Q34" s="299">
        <f t="shared" si="4"/>
        <v>0.11637365520860672</v>
      </c>
      <c r="R34" s="362">
        <v>0.152</v>
      </c>
      <c r="S34" s="381"/>
      <c r="T34" s="379"/>
      <c r="U34" s="379"/>
      <c r="V34" s="379"/>
      <c r="W34" s="379"/>
      <c r="X34" s="321">
        <f>_xlfn.XLOOKUP($C34,Downloads!A$2:A$501,Downloads!B$2:B$501)</f>
        <v>3428</v>
      </c>
      <c r="Y34" s="302"/>
      <c r="Z34" s="302"/>
      <c r="AA34" s="302"/>
      <c r="AB34" s="370" t="s">
        <v>510</v>
      </c>
      <c r="AC34" s="317"/>
      <c r="AD34" s="321" cm="1">
        <f t="array" ref="AD34">_xlfn.XLOOKUP($A34&amp;$C34,Downloads!$G$2:'Downloads'!$G$501&amp;Downloads!$H$2:'Downloads'!$H$501,Downloads!I$2:I$501)</f>
        <v>3396.4</v>
      </c>
      <c r="AE34" s="523" cm="1">
        <f t="array" ref="AE34">_xlfn.XLOOKUP($A34&amp;$C34,Downloads!$G$2:'Downloads'!$G$501&amp;Downloads!$H$2:'Downloads'!$H$501,Downloads!J$2:J$501)</f>
        <v>40</v>
      </c>
      <c r="AF34" s="302" cm="1">
        <f t="array" ref="AF34">_xlfn.XLOOKUP($A34&amp;$C34,Downloads!$G$2:'Downloads'!$G$501&amp;Downloads!$H$2:'Downloads'!$H$501,Downloads!K$2:K$501)</f>
        <v>64.78</v>
      </c>
      <c r="AG34" s="362">
        <f t="shared" si="0"/>
        <v>-9.2182030338389467E-3</v>
      </c>
      <c r="AH34" s="361">
        <f t="shared" si="1"/>
        <v>9.9960561382966377E-3</v>
      </c>
      <c r="AJ34" s="556"/>
      <c r="AK34" s="309"/>
      <c r="AL34" s="309"/>
      <c r="AM34" s="309"/>
      <c r="AN34" s="309"/>
      <c r="AO34" s="309"/>
      <c r="AP34" s="309"/>
      <c r="AQ34" s="309"/>
      <c r="AR34" s="309"/>
    </row>
    <row r="35" spans="1:44" x14ac:dyDescent="0.35">
      <c r="A35" s="475" t="s">
        <v>28</v>
      </c>
      <c r="B35" s="475" t="s">
        <v>571</v>
      </c>
      <c r="C35" s="476" t="s">
        <v>79</v>
      </c>
      <c r="D35" s="475" t="s">
        <v>522</v>
      </c>
      <c r="E35" s="477" t="s">
        <v>578</v>
      </c>
      <c r="F35" s="477" t="s">
        <v>579</v>
      </c>
      <c r="G35" s="477" t="s">
        <v>580</v>
      </c>
      <c r="H35" s="476" t="s">
        <v>501</v>
      </c>
      <c r="I35" s="475" t="s">
        <v>526</v>
      </c>
      <c r="J35" s="478">
        <v>2.9000000000000001E-2</v>
      </c>
      <c r="K35" s="479">
        <v>12.32</v>
      </c>
      <c r="L35" s="479">
        <v>12.03</v>
      </c>
      <c r="M35" s="479">
        <v>13.36</v>
      </c>
      <c r="N35" s="479">
        <v>13.98</v>
      </c>
      <c r="O35" s="480">
        <f t="shared" si="2"/>
        <v>4.6407185628742589E-2</v>
      </c>
      <c r="P35" s="480">
        <f t="shared" si="3"/>
        <v>0.16209476309226942</v>
      </c>
      <c r="Q35" s="480">
        <f t="shared" si="4"/>
        <v>0.13474025974025974</v>
      </c>
      <c r="R35" s="478">
        <v>0.14580000000000001</v>
      </c>
      <c r="S35" s="481"/>
      <c r="T35" s="478"/>
      <c r="U35" s="478"/>
      <c r="V35" s="478"/>
      <c r="W35" s="478"/>
      <c r="X35" s="482">
        <f>_xlfn.XLOOKUP($C35,Downloads!A$2:A$501,Downloads!B$2:B$501)</f>
        <v>110000</v>
      </c>
      <c r="Y35" s="483"/>
      <c r="Z35" s="483"/>
      <c r="AA35" s="483"/>
      <c r="AB35" s="370" t="s">
        <v>510</v>
      </c>
      <c r="AC35" s="477"/>
      <c r="AD35" s="482" cm="1">
        <f t="array" ref="AD35">_xlfn.XLOOKUP($A35&amp;$C35,Downloads!$G$2:'Downloads'!$G$501&amp;Downloads!$H$2:'Downloads'!$H$501,Downloads!I$2:I$501)</f>
        <v>8559.76</v>
      </c>
      <c r="AE35" s="524" cm="1">
        <f t="array" ref="AE35">_xlfn.XLOOKUP($A35&amp;$C35,Downloads!$G$2:'Downloads'!$G$501&amp;Downloads!$H$2:'Downloads'!$H$501,Downloads!J$2:J$501)</f>
        <v>615.36800000000005</v>
      </c>
      <c r="AF35" s="483" cm="1">
        <f t="array" ref="AF35">_xlfn.XLOOKUP($A35&amp;$C35,Downloads!$G$2:'Downloads'!$G$501&amp;Downloads!$H$2:'Downloads'!$H$501,Downloads!K$2:K$501)</f>
        <v>14.12</v>
      </c>
      <c r="AG35" s="478">
        <f t="shared" si="0"/>
        <v>-0.922184</v>
      </c>
      <c r="AH35" s="361">
        <f t="shared" si="1"/>
        <v>1</v>
      </c>
      <c r="AJ35" s="556"/>
      <c r="AK35" s="309"/>
      <c r="AL35" s="309"/>
      <c r="AM35" s="309"/>
      <c r="AN35" s="309"/>
      <c r="AO35" s="309"/>
      <c r="AP35" s="309"/>
      <c r="AQ35" s="309"/>
      <c r="AR35" s="309"/>
    </row>
    <row r="36" spans="1:44" x14ac:dyDescent="0.35">
      <c r="A36" s="309" t="s">
        <v>28</v>
      </c>
      <c r="B36" s="309" t="s">
        <v>571</v>
      </c>
      <c r="C36" s="368" t="s">
        <v>93</v>
      </c>
      <c r="D36" s="309" t="s">
        <v>541</v>
      </c>
      <c r="E36" s="317" t="s">
        <v>581</v>
      </c>
      <c r="F36" s="317"/>
      <c r="G36" s="317" t="s">
        <v>582</v>
      </c>
      <c r="H36" s="368" t="s">
        <v>501</v>
      </c>
      <c r="I36" s="362" t="s">
        <v>577</v>
      </c>
      <c r="J36" s="362">
        <v>2.4299999999999999E-2</v>
      </c>
      <c r="K36" s="361">
        <v>41.89</v>
      </c>
      <c r="L36" s="361">
        <v>55.26</v>
      </c>
      <c r="M36" s="361">
        <v>58.8</v>
      </c>
      <c r="N36" s="361">
        <v>61.69</v>
      </c>
      <c r="O36" s="299">
        <f t="shared" si="2"/>
        <v>4.9149659863945587E-2</v>
      </c>
      <c r="P36" s="299">
        <f t="shared" si="3"/>
        <v>0.11635903003981179</v>
      </c>
      <c r="Q36" s="299">
        <f t="shared" si="4"/>
        <v>0.47266650751969436</v>
      </c>
      <c r="R36" s="362">
        <v>0.42299999999999999</v>
      </c>
      <c r="S36" s="381"/>
      <c r="T36" s="379"/>
      <c r="U36" s="362" t="s">
        <v>505</v>
      </c>
      <c r="V36" s="362" t="s">
        <v>505</v>
      </c>
      <c r="W36" s="362" t="s">
        <v>505</v>
      </c>
      <c r="X36" s="321">
        <f>_xlfn.XLOOKUP($C36,Downloads!A$2:A$501,Downloads!B$2:B$501)</f>
        <v>15000</v>
      </c>
      <c r="Y36" s="302"/>
      <c r="Z36" s="302"/>
      <c r="AA36" s="302"/>
      <c r="AB36" s="370" t="s">
        <v>510</v>
      </c>
      <c r="AC36" s="317"/>
      <c r="AD36" s="321" cm="1">
        <f t="array" ref="AD36">_xlfn.XLOOKUP($A36&amp;$C36,Downloads!$G$2:'Downloads'!$G$501&amp;Downloads!$H$2:'Downloads'!$H$501,Downloads!I$2:I$501)</f>
        <v>15327.5</v>
      </c>
      <c r="AE36" s="523" cm="1">
        <f t="array" ref="AE36">_xlfn.XLOOKUP($A36&amp;$C36,Downloads!$G$2:'Downloads'!$G$501&amp;Downloads!$H$2:'Downloads'!$H$501,Downloads!J$2:J$501)</f>
        <v>250</v>
      </c>
      <c r="AF36" s="302" cm="1">
        <f t="array" ref="AF36">_xlfn.XLOOKUP($A36&amp;$C36,Downloads!$G$2:'Downloads'!$G$501&amp;Downloads!$H$2:'Downloads'!$H$501,Downloads!K$2:K$501)</f>
        <v>49.05</v>
      </c>
      <c r="AG36" s="362">
        <f t="shared" si="0"/>
        <v>2.1833333333333333E-2</v>
      </c>
      <c r="AH36" s="361">
        <f t="shared" si="1"/>
        <v>-2.3675680052281683E-2</v>
      </c>
      <c r="AJ36" s="556"/>
      <c r="AK36" s="309"/>
      <c r="AL36" s="309"/>
      <c r="AM36" s="309"/>
      <c r="AN36" s="309"/>
      <c r="AO36" s="309"/>
      <c r="AP36" s="309"/>
      <c r="AQ36" s="309"/>
      <c r="AR36" s="309"/>
    </row>
    <row r="37" spans="1:44" x14ac:dyDescent="0.35">
      <c r="A37" s="309" t="s">
        <v>28</v>
      </c>
      <c r="B37" s="309" t="s">
        <v>571</v>
      </c>
      <c r="C37" s="368" t="s">
        <v>47</v>
      </c>
      <c r="D37" s="309" t="s">
        <v>497</v>
      </c>
      <c r="E37" s="317" t="s">
        <v>583</v>
      </c>
      <c r="F37" s="317" t="s">
        <v>584</v>
      </c>
      <c r="G37" s="317"/>
      <c r="H37" s="368" t="s">
        <v>501</v>
      </c>
      <c r="I37" s="309" t="s">
        <v>502</v>
      </c>
      <c r="J37" s="362">
        <v>1.32E-2</v>
      </c>
      <c r="K37" s="361">
        <v>169.4</v>
      </c>
      <c r="L37" s="361">
        <v>191.5</v>
      </c>
      <c r="M37" s="361">
        <v>242.8</v>
      </c>
      <c r="N37" s="361">
        <v>238.16</v>
      </c>
      <c r="O37" s="299">
        <f t="shared" si="2"/>
        <v>-1.9110378912685397E-2</v>
      </c>
      <c r="P37" s="299">
        <f t="shared" si="3"/>
        <v>0.24365535248041773</v>
      </c>
      <c r="Q37" s="299">
        <f t="shared" si="4"/>
        <v>0.40590318772136946</v>
      </c>
      <c r="R37" s="379"/>
      <c r="S37" s="365">
        <v>81</v>
      </c>
      <c r="T37" s="362" t="s">
        <v>585</v>
      </c>
      <c r="U37" s="362" t="s">
        <v>504</v>
      </c>
      <c r="V37" s="362" t="s">
        <v>505</v>
      </c>
      <c r="W37" s="362" t="s">
        <v>505</v>
      </c>
      <c r="X37" s="321">
        <f>_xlfn.XLOOKUP($C37,Downloads!A$2:A$501,Downloads!B$2:B$501)</f>
        <v>9093</v>
      </c>
      <c r="Y37" s="302"/>
      <c r="Z37" s="302"/>
      <c r="AA37" s="302"/>
      <c r="AB37" s="370" t="s">
        <v>510</v>
      </c>
      <c r="AC37" s="317"/>
      <c r="AD37" s="321" cm="1">
        <f t="array" ref="AD37">_xlfn.XLOOKUP($A37&amp;$C37,Downloads!$G$2:'Downloads'!$G$501&amp;Downloads!$H$2:'Downloads'!$H$501,Downloads!I$2:I$501)</f>
        <v>14580.13</v>
      </c>
      <c r="AE37" s="523" cm="1">
        <f t="array" ref="AE37">_xlfn.XLOOKUP($A37&amp;$C37,Downloads!$G$2:'Downloads'!$G$501&amp;Downloads!$H$2:'Downloads'!$H$501,Downloads!J$2:J$501)</f>
        <v>63.152999999999999</v>
      </c>
      <c r="AF37" s="302" cm="1">
        <f t="array" ref="AF37">_xlfn.XLOOKUP($A37&amp;$C37,Downloads!$G$2:'Downloads'!$G$501&amp;Downloads!$H$2:'Downloads'!$H$501,Downloads!K$2:K$501)</f>
        <v>237.52</v>
      </c>
      <c r="AG37" s="362">
        <f t="shared" si="0"/>
        <v>0.60344550753326731</v>
      </c>
      <c r="AH37" s="361">
        <f t="shared" si="1"/>
        <v>-0.65436562284020039</v>
      </c>
      <c r="AJ37" s="556"/>
      <c r="AK37" s="309"/>
      <c r="AL37" s="309"/>
      <c r="AM37" s="309"/>
      <c r="AN37" s="309"/>
      <c r="AO37" s="309"/>
      <c r="AP37" s="309"/>
      <c r="AQ37" s="309"/>
      <c r="AR37" s="309"/>
    </row>
    <row r="38" spans="1:44" x14ac:dyDescent="0.35">
      <c r="A38" s="309" t="s">
        <v>28</v>
      </c>
      <c r="B38" s="309" t="s">
        <v>571</v>
      </c>
      <c r="C38" s="368" t="s">
        <v>49</v>
      </c>
      <c r="D38" s="309" t="s">
        <v>541</v>
      </c>
      <c r="E38" s="383" t="s">
        <v>586</v>
      </c>
      <c r="F38" s="383" t="s">
        <v>587</v>
      </c>
      <c r="G38" s="383" t="s">
        <v>588</v>
      </c>
      <c r="H38" s="368" t="s">
        <v>501</v>
      </c>
      <c r="I38" s="309" t="s">
        <v>502</v>
      </c>
      <c r="J38" s="362">
        <v>2.63E-2</v>
      </c>
      <c r="K38" s="361">
        <v>52.27</v>
      </c>
      <c r="L38" s="361">
        <v>51.77</v>
      </c>
      <c r="M38" s="361">
        <v>57.36</v>
      </c>
      <c r="N38" s="361">
        <v>58.72</v>
      </c>
      <c r="O38" s="299">
        <f t="shared" si="2"/>
        <v>2.3709902370990226E-2</v>
      </c>
      <c r="P38" s="299">
        <f t="shared" si="3"/>
        <v>0.13424763376472851</v>
      </c>
      <c r="Q38" s="299">
        <f t="shared" si="4"/>
        <v>0.12339774249091248</v>
      </c>
      <c r="R38" s="362">
        <v>0.13819999999999999</v>
      </c>
      <c r="S38" s="381"/>
      <c r="T38" s="379"/>
      <c r="U38" s="362" t="s">
        <v>505</v>
      </c>
      <c r="V38" s="362" t="s">
        <v>505</v>
      </c>
      <c r="W38" s="362" t="s">
        <v>505</v>
      </c>
      <c r="X38" s="321">
        <v>26375</v>
      </c>
      <c r="Y38" s="302"/>
      <c r="Z38" s="302"/>
      <c r="AA38" s="302"/>
      <c r="AB38" s="370" t="s">
        <v>510</v>
      </c>
      <c r="AC38" s="317"/>
      <c r="AD38" s="321" cm="1">
        <f t="array" ref="AD38">_xlfn.XLOOKUP($A38&amp;$C38,Downloads!$G$2:'Downloads'!$G$501&amp;Downloads!$H$2:'Downloads'!$H$501,Downloads!I$2:I$501)</f>
        <v>22016.25</v>
      </c>
      <c r="AE38" s="523" cm="1">
        <f t="array" ref="AE38">_xlfn.XLOOKUP($A38&amp;$C38,Downloads!$G$2:'Downloads'!$G$501&amp;Downloads!$H$2:'Downloads'!$H$501,Downloads!J$2:J$501)</f>
        <v>375</v>
      </c>
      <c r="AF38" s="302" cm="1">
        <f t="array" ref="AF38">_xlfn.XLOOKUP($A38&amp;$C38,Downloads!$G$2:'Downloads'!$G$501&amp;Downloads!$H$2:'Downloads'!$H$501,Downloads!K$2:K$501)</f>
        <v>50.92</v>
      </c>
      <c r="AG38" s="362">
        <f t="shared" si="0"/>
        <v>-0.165260663507109</v>
      </c>
      <c r="AH38" s="361">
        <f t="shared" si="1"/>
        <v>0.17920573714910365</v>
      </c>
      <c r="AJ38" s="556"/>
      <c r="AK38" s="309"/>
      <c r="AL38" s="309"/>
      <c r="AM38" s="309"/>
      <c r="AN38" s="309"/>
      <c r="AO38" s="309"/>
      <c r="AP38" s="309"/>
      <c r="AQ38" s="309"/>
      <c r="AR38" s="309"/>
    </row>
    <row r="39" spans="1:44" x14ac:dyDescent="0.35">
      <c r="A39" s="309" t="s">
        <v>28</v>
      </c>
      <c r="B39" s="309" t="s">
        <v>571</v>
      </c>
      <c r="C39" s="368" t="s">
        <v>111</v>
      </c>
      <c r="D39" s="309" t="s">
        <v>497</v>
      </c>
      <c r="E39" s="317" t="s">
        <v>589</v>
      </c>
      <c r="F39" s="317" t="s">
        <v>590</v>
      </c>
      <c r="G39" s="340" t="s">
        <v>500</v>
      </c>
      <c r="H39" s="368" t="s">
        <v>501</v>
      </c>
      <c r="I39" s="309" t="s">
        <v>516</v>
      </c>
      <c r="J39" s="362">
        <v>0</v>
      </c>
      <c r="K39" s="361">
        <v>35.700000000000003</v>
      </c>
      <c r="L39" s="361">
        <v>48</v>
      </c>
      <c r="M39" s="361">
        <v>58.6</v>
      </c>
      <c r="N39" s="361">
        <v>61.4</v>
      </c>
      <c r="O39" s="299">
        <f t="shared" si="2"/>
        <v>4.7781569965870255E-2</v>
      </c>
      <c r="P39" s="299">
        <f t="shared" si="3"/>
        <v>0.27916666666666662</v>
      </c>
      <c r="Q39" s="299">
        <f t="shared" si="4"/>
        <v>0.7198879551820726</v>
      </c>
      <c r="R39" s="379"/>
      <c r="S39" s="365">
        <v>17</v>
      </c>
      <c r="T39" s="379"/>
      <c r="U39" s="362" t="s">
        <v>505</v>
      </c>
      <c r="V39" s="362" t="s">
        <v>504</v>
      </c>
      <c r="W39" s="362" t="s">
        <v>505</v>
      </c>
      <c r="X39" s="321">
        <f>_xlfn.XLOOKUP($C39,Downloads!A$2:A$501,Downloads!B$2:B$501)</f>
        <v>13111</v>
      </c>
      <c r="Y39" s="302"/>
      <c r="Z39" s="302"/>
      <c r="AA39" s="302"/>
      <c r="AB39" s="367" t="s">
        <v>506</v>
      </c>
      <c r="AC39" s="317" t="s">
        <v>591</v>
      </c>
      <c r="AD39" s="321" cm="1">
        <f t="array" ref="AD39">_xlfn.XLOOKUP($A39&amp;$C39,Downloads!$G$2:'Downloads'!$G$501&amp;Downloads!$H$2:'Downloads'!$H$501,Downloads!I$2:I$501)</f>
        <v>14314.5</v>
      </c>
      <c r="AE39" s="523" cm="1">
        <f t="array" ref="AE39">_xlfn.XLOOKUP($A39&amp;$C39,Downloads!$G$2:'Downloads'!$G$501&amp;Downloads!$H$2:'Downloads'!$H$501,Downloads!J$2:J$501)</f>
        <v>225</v>
      </c>
      <c r="AF39" s="302" cm="1">
        <f t="array" ref="AF39">_xlfn.XLOOKUP($A39&amp;$C39,Downloads!$G$2:'Downloads'!$G$501&amp;Downloads!$H$2:'Downloads'!$H$501,Downloads!K$2:K$501)</f>
        <v>47.03</v>
      </c>
      <c r="AG39" s="362">
        <f t="shared" si="0"/>
        <v>9.1793150789413469E-2</v>
      </c>
      <c r="AH39" s="361">
        <f t="shared" si="1"/>
        <v>-9.953886728615273E-2</v>
      </c>
      <c r="AJ39" s="556"/>
      <c r="AK39" s="309"/>
      <c r="AL39" s="309"/>
      <c r="AM39" s="309"/>
      <c r="AN39" s="309"/>
      <c r="AO39" s="309"/>
      <c r="AP39" s="309"/>
      <c r="AQ39" s="309"/>
      <c r="AR39" s="309"/>
    </row>
    <row r="40" spans="1:44" x14ac:dyDescent="0.35">
      <c r="A40" s="309" t="s">
        <v>28</v>
      </c>
      <c r="B40" s="309" t="s">
        <v>592</v>
      </c>
      <c r="C40" s="368" t="s">
        <v>76</v>
      </c>
      <c r="D40" s="309" t="s">
        <v>497</v>
      </c>
      <c r="E40" s="317" t="s">
        <v>593</v>
      </c>
      <c r="F40" s="317" t="s">
        <v>594</v>
      </c>
      <c r="G40" s="340" t="s">
        <v>500</v>
      </c>
      <c r="H40" s="368" t="s">
        <v>501</v>
      </c>
      <c r="I40" s="309" t="s">
        <v>516</v>
      </c>
      <c r="J40" s="362">
        <v>0</v>
      </c>
      <c r="K40" s="361">
        <v>210</v>
      </c>
      <c r="L40" s="361">
        <v>270</v>
      </c>
      <c r="M40" s="361">
        <v>208</v>
      </c>
      <c r="N40" s="361">
        <v>209.5</v>
      </c>
      <c r="O40" s="299">
        <f t="shared" si="2"/>
        <v>7.2115384615384619E-3</v>
      </c>
      <c r="P40" s="299">
        <f t="shared" si="3"/>
        <v>-0.22407407407407406</v>
      </c>
      <c r="Q40" s="299">
        <f t="shared" si="4"/>
        <v>-2.3809523809523812E-3</v>
      </c>
      <c r="R40" s="362"/>
      <c r="S40" s="365">
        <v>35</v>
      </c>
      <c r="T40" s="379"/>
      <c r="U40" s="362" t="s">
        <v>505</v>
      </c>
      <c r="V40" s="362" t="s">
        <v>505</v>
      </c>
      <c r="W40" s="362" t="s">
        <v>505</v>
      </c>
      <c r="X40" s="321">
        <f>_xlfn.XLOOKUP($C40,Downloads!A$2:A$501,Downloads!B$2:B$501)</f>
        <v>8850</v>
      </c>
      <c r="Y40" s="302"/>
      <c r="Z40" s="302"/>
      <c r="AA40" s="302"/>
      <c r="AB40" s="370" t="s">
        <v>510</v>
      </c>
      <c r="AC40" s="317"/>
      <c r="AD40" s="321" cm="1">
        <f t="array" ref="AD40">_xlfn.XLOOKUP($A40&amp;$C40,Downloads!$G$2:'Downloads'!$G$501&amp;Downloads!$H$2:'Downloads'!$H$501,Downloads!I$2:I$501)</f>
        <v>9215.1</v>
      </c>
      <c r="AE40" s="523" cm="1">
        <f t="array" ref="AE40">_xlfn.XLOOKUP($A40&amp;$C40,Downloads!$G$2:'Downloads'!$G$501&amp;Downloads!$H$2:'Downloads'!$H$501,Downloads!J$2:J$501)</f>
        <v>30</v>
      </c>
      <c r="AF40" s="302" cm="1">
        <f t="array" ref="AF40">_xlfn.XLOOKUP($A40&amp;$C40,Downloads!$G$2:'Downloads'!$G$501&amp;Downloads!$H$2:'Downloads'!$H$501,Downloads!K$2:K$501)</f>
        <v>248.92</v>
      </c>
      <c r="AG40" s="362">
        <f t="shared" si="0"/>
        <v>4.1254237288135633E-2</v>
      </c>
      <c r="AH40" s="361">
        <f t="shared" si="1"/>
        <v>-4.4735364404647697E-2</v>
      </c>
      <c r="AJ40" s="556"/>
      <c r="AK40" s="309"/>
      <c r="AL40" s="309"/>
      <c r="AM40" s="309"/>
      <c r="AN40" s="309"/>
      <c r="AO40" s="309"/>
      <c r="AP40" s="309"/>
      <c r="AQ40" s="309"/>
      <c r="AR40" s="309"/>
    </row>
    <row r="41" spans="1:44" x14ac:dyDescent="0.35">
      <c r="A41" s="309" t="s">
        <v>28</v>
      </c>
      <c r="B41" s="309" t="s">
        <v>592</v>
      </c>
      <c r="C41" s="368" t="s">
        <v>50</v>
      </c>
      <c r="D41" s="309" t="s">
        <v>541</v>
      </c>
      <c r="E41" s="317" t="s">
        <v>595</v>
      </c>
      <c r="F41" s="317" t="s">
        <v>596</v>
      </c>
      <c r="G41" s="317" t="s">
        <v>597</v>
      </c>
      <c r="H41" s="368" t="s">
        <v>501</v>
      </c>
      <c r="I41" s="362" t="s">
        <v>577</v>
      </c>
      <c r="J41" s="362">
        <v>2.7900000000000001E-2</v>
      </c>
      <c r="K41" s="361">
        <v>123.46</v>
      </c>
      <c r="L41" s="361">
        <v>117.37</v>
      </c>
      <c r="M41" s="361">
        <v>135.66999999999999</v>
      </c>
      <c r="N41" s="361">
        <v>139.78</v>
      </c>
      <c r="O41" s="299">
        <f t="shared" si="2"/>
        <v>3.0294095968158134E-2</v>
      </c>
      <c r="P41" s="299">
        <f t="shared" si="3"/>
        <v>0.19093465110334834</v>
      </c>
      <c r="Q41" s="299">
        <f t="shared" si="4"/>
        <v>0.13218856309735955</v>
      </c>
      <c r="R41" s="362">
        <v>0.1389</v>
      </c>
      <c r="S41" s="365"/>
      <c r="T41" s="362"/>
      <c r="U41" s="362" t="s">
        <v>505</v>
      </c>
      <c r="V41" s="362" t="s">
        <v>505</v>
      </c>
      <c r="W41" s="362" t="s">
        <v>505</v>
      </c>
      <c r="X41" s="321">
        <f>_xlfn.XLOOKUP($C41,Downloads!A$2:A$501,Downloads!B$2:B$501)</f>
        <v>5517</v>
      </c>
      <c r="Y41" s="302"/>
      <c r="Z41" s="302"/>
      <c r="AA41" s="302"/>
      <c r="AB41" s="370" t="s">
        <v>510</v>
      </c>
      <c r="AC41" s="317"/>
      <c r="AD41" s="527" cm="1">
        <f t="array" ref="AD41">_xlfn.XLOOKUP($A41&amp;$C41,Downloads!$G$2:'Downloads'!$G$501&amp;Downloads!$H$2:'Downloads'!$H$501,Downloads!I$2:I$501)</f>
        <v>5610.8</v>
      </c>
      <c r="AE41" s="528" cm="1">
        <f t="array" ref="AE41">_xlfn.XLOOKUP($A41&amp;$C41,Downloads!$G$2:'Downloads'!$G$501&amp;Downloads!$H$2:'Downloads'!$H$501,Downloads!J$2:J$501)</f>
        <v>40</v>
      </c>
      <c r="AF41" s="529" cm="1">
        <f t="array" ref="AF41">_xlfn.XLOOKUP($A41&amp;$C41,Downloads!$G$2:'Downloads'!$G$501&amp;Downloads!$H$2:'Downloads'!$H$501,Downloads!K$2:K$501)</f>
        <v>140.21</v>
      </c>
      <c r="AG41" s="530">
        <f t="shared" si="0"/>
        <v>1.7001993837230413E-2</v>
      </c>
      <c r="AH41" s="361">
        <f t="shared" si="1"/>
        <v>-1.8436661053792318E-2</v>
      </c>
      <c r="AI41" s="531"/>
      <c r="AJ41" s="532"/>
      <c r="AK41" s="309"/>
      <c r="AL41" s="309"/>
      <c r="AM41" s="309"/>
      <c r="AN41" s="309"/>
      <c r="AO41" s="309"/>
      <c r="AP41" s="309"/>
      <c r="AQ41" s="309"/>
      <c r="AR41" s="309"/>
    </row>
    <row r="42" spans="1:44" ht="14.5" customHeight="1" x14ac:dyDescent="0.35">
      <c r="A42" s="320"/>
      <c r="B42" s="320"/>
      <c r="C42" s="320"/>
      <c r="D42" s="320"/>
      <c r="E42" s="435"/>
      <c r="F42" s="435"/>
      <c r="G42" s="435"/>
      <c r="H42" s="320"/>
      <c r="I42" s="320"/>
      <c r="J42" s="320"/>
      <c r="K42" s="438"/>
      <c r="L42" s="438"/>
      <c r="M42" s="438"/>
      <c r="N42" s="438"/>
      <c r="O42" s="320"/>
      <c r="P42" s="320"/>
      <c r="Q42" s="320"/>
      <c r="R42" s="320"/>
      <c r="S42" s="320"/>
      <c r="T42" s="320"/>
      <c r="U42" s="320"/>
      <c r="V42" s="320"/>
      <c r="W42" s="320"/>
      <c r="X42" s="433"/>
      <c r="Y42" s="434"/>
      <c r="Z42" s="434"/>
      <c r="AA42" s="434"/>
      <c r="AB42" s="320"/>
      <c r="AC42" s="435"/>
      <c r="AD42" s="215"/>
      <c r="AE42" s="436"/>
      <c r="AF42" s="437"/>
      <c r="AG42" s="215"/>
      <c r="AH42" s="215"/>
      <c r="AI42" s="215"/>
      <c r="AJ42" s="215"/>
      <c r="AK42" s="309"/>
      <c r="AL42" s="309"/>
      <c r="AM42" s="309"/>
      <c r="AN42" s="309"/>
      <c r="AO42" s="309"/>
      <c r="AP42" s="309"/>
      <c r="AQ42" s="309"/>
      <c r="AR42" s="309"/>
    </row>
    <row r="43" spans="1:44" ht="14.5" customHeight="1" x14ac:dyDescent="0.35">
      <c r="K43"/>
      <c r="L43"/>
      <c r="M43"/>
      <c r="N43"/>
      <c r="X43" s="470">
        <f>SUBTOTAL(109,X9:X41)</f>
        <v>833562</v>
      </c>
      <c r="AB43" s="465" t="s">
        <v>598</v>
      </c>
      <c r="AD43" s="467">
        <f>SUBTOTAL(109,AD9:AD41)</f>
        <v>715624.17</v>
      </c>
      <c r="AE43" s="465" t="s">
        <v>598</v>
      </c>
      <c r="AF43"/>
    </row>
    <row r="46" spans="1:44" x14ac:dyDescent="0.35">
      <c r="AD46" s="184"/>
      <c r="AE46"/>
      <c r="AF46"/>
    </row>
    <row r="47" spans="1:44" x14ac:dyDescent="0.35">
      <c r="AE47"/>
      <c r="AF47"/>
    </row>
    <row r="48" spans="1:44" x14ac:dyDescent="0.35">
      <c r="AE48"/>
      <c r="AF48"/>
    </row>
    <row r="49" spans="5:32" x14ac:dyDescent="0.35">
      <c r="E49" s="184"/>
      <c r="K49"/>
      <c r="L49"/>
      <c r="M49"/>
      <c r="N49"/>
      <c r="V49" s="439"/>
      <c r="W49" s="440"/>
      <c r="AE49"/>
      <c r="AF49"/>
    </row>
    <row r="50" spans="5:32" x14ac:dyDescent="0.35">
      <c r="K50"/>
      <c r="L50"/>
      <c r="M50"/>
      <c r="N50"/>
      <c r="V50" s="439"/>
      <c r="W50" s="440"/>
    </row>
    <row r="51" spans="5:32" x14ac:dyDescent="0.35">
      <c r="K51"/>
      <c r="L51"/>
      <c r="M51"/>
      <c r="N51"/>
      <c r="V51" s="439"/>
      <c r="W51" s="440"/>
    </row>
    <row r="52" spans="5:32" x14ac:dyDescent="0.35">
      <c r="K52"/>
      <c r="L52"/>
      <c r="M52"/>
      <c r="N52"/>
      <c r="V52" s="439"/>
      <c r="W52" s="440"/>
    </row>
    <row r="53" spans="5:32" x14ac:dyDescent="0.35">
      <c r="K53"/>
      <c r="L53"/>
      <c r="M53"/>
      <c r="N53"/>
      <c r="V53" s="439"/>
      <c r="W53" s="440"/>
    </row>
    <row r="54" spans="5:32" x14ac:dyDescent="0.35">
      <c r="K54"/>
      <c r="L54"/>
      <c r="M54"/>
      <c r="N54"/>
      <c r="V54" s="439"/>
      <c r="W54" s="440"/>
    </row>
    <row r="55" spans="5:32" x14ac:dyDescent="0.35">
      <c r="K55"/>
      <c r="L55"/>
      <c r="M55"/>
      <c r="N55"/>
      <c r="V55" s="439"/>
      <c r="W55" s="440"/>
    </row>
    <row r="56" spans="5:32" x14ac:dyDescent="0.35">
      <c r="K56"/>
      <c r="L56"/>
      <c r="M56"/>
      <c r="N56"/>
      <c r="V56" s="439"/>
      <c r="W56" s="439"/>
    </row>
    <row r="57" spans="5:32" x14ac:dyDescent="0.35">
      <c r="K57"/>
      <c r="L57"/>
      <c r="M57"/>
      <c r="N57"/>
    </row>
    <row r="58" spans="5:32" x14ac:dyDescent="0.35">
      <c r="K58"/>
      <c r="L58"/>
      <c r="M58"/>
      <c r="N58"/>
    </row>
    <row r="59" spans="5:32" x14ac:dyDescent="0.35">
      <c r="K59"/>
      <c r="L59"/>
      <c r="M59"/>
      <c r="N59"/>
    </row>
    <row r="60" spans="5:32" x14ac:dyDescent="0.35">
      <c r="K60"/>
      <c r="L60"/>
      <c r="M60"/>
      <c r="N60"/>
    </row>
    <row r="61" spans="5:32" x14ac:dyDescent="0.35">
      <c r="K61"/>
      <c r="L61"/>
      <c r="M61"/>
      <c r="N61"/>
    </row>
    <row r="62" spans="5:32" x14ac:dyDescent="0.35">
      <c r="K62"/>
      <c r="L62"/>
      <c r="M62"/>
      <c r="N62"/>
    </row>
    <row r="63" spans="5:32" x14ac:dyDescent="0.35">
      <c r="K63"/>
      <c r="L63"/>
      <c r="M63"/>
      <c r="N63"/>
    </row>
    <row r="64" spans="5:32" x14ac:dyDescent="0.35">
      <c r="K64"/>
      <c r="L64"/>
      <c r="M64"/>
      <c r="N64"/>
    </row>
    <row r="65" spans="11:14" x14ac:dyDescent="0.35">
      <c r="K65"/>
      <c r="L65"/>
      <c r="M65"/>
      <c r="N65"/>
    </row>
    <row r="66" spans="11:14" x14ac:dyDescent="0.35">
      <c r="K66"/>
      <c r="L66"/>
      <c r="M66"/>
      <c r="N66"/>
    </row>
    <row r="67" spans="11:14" x14ac:dyDescent="0.35">
      <c r="K67"/>
      <c r="L67"/>
      <c r="M67"/>
      <c r="N67"/>
    </row>
    <row r="68" spans="11:14" x14ac:dyDescent="0.35">
      <c r="K68"/>
      <c r="L68"/>
      <c r="M68"/>
      <c r="N68"/>
    </row>
    <row r="69" spans="11:14" x14ac:dyDescent="0.35">
      <c r="K69"/>
      <c r="L69"/>
      <c r="M69"/>
      <c r="N69"/>
    </row>
    <row r="70" spans="11:14" x14ac:dyDescent="0.35">
      <c r="K70"/>
      <c r="L70"/>
      <c r="M70"/>
      <c r="N70"/>
    </row>
    <row r="71" spans="11:14" x14ac:dyDescent="0.35">
      <c r="K71"/>
      <c r="L71"/>
      <c r="M71"/>
      <c r="N71"/>
    </row>
  </sheetData>
  <sortState xmlns:xlrd2="http://schemas.microsoft.com/office/spreadsheetml/2017/richdata2" ref="A9:AH40">
    <sortCondition descending="1" ref="B9:B40"/>
    <sortCondition ref="C9:C40"/>
  </sortState>
  <mergeCells count="16">
    <mergeCell ref="C6:G6"/>
    <mergeCell ref="H6:W6"/>
    <mergeCell ref="AD7:AJ7"/>
    <mergeCell ref="A2:W2"/>
    <mergeCell ref="X2:AQ2"/>
    <mergeCell ref="K3:N3"/>
    <mergeCell ref="T3:W3"/>
    <mergeCell ref="X6:AQ6"/>
    <mergeCell ref="K4:N4"/>
    <mergeCell ref="I5:J5"/>
    <mergeCell ref="I7:J7"/>
    <mergeCell ref="K7:N7"/>
    <mergeCell ref="O7:Q7"/>
    <mergeCell ref="T7:W7"/>
    <mergeCell ref="X7:AC7"/>
    <mergeCell ref="I4:J4"/>
  </mergeCells>
  <conditionalFormatting sqref="A9:AG9">
    <cfRule type="expression" dxfId="42" priority="278">
      <formula>$B9&lt;&gt;#REF!</formula>
    </cfRule>
  </conditionalFormatting>
  <conditionalFormatting sqref="A10:AG10 A12:AG13 A15:AG15 A17:AG22 A24:AG31 A33:AG33 A35:AG35 K37:AF37 A37:J38 AG37:AG38 K38:AC38 AG38:AH38 A40:AG41 A42:CY42">
    <cfRule type="expression" dxfId="41" priority="4">
      <formula>$B10&lt;&gt;$B9</formula>
    </cfRule>
  </conditionalFormatting>
  <conditionalFormatting sqref="A14:AG14 A16:AG16 A23:AG23 A32:AG32 A34:AG34 A36:AG36 A39:AC39 AG39">
    <cfRule type="expression" dxfId="39" priority="245">
      <formula>$B14&lt;&gt;#REF!</formula>
    </cfRule>
  </conditionalFormatting>
  <conditionalFormatting sqref="O9:R41">
    <cfRule type="cellIs" dxfId="38" priority="7" operator="lessThan">
      <formula>0</formula>
    </cfRule>
    <cfRule type="cellIs" dxfId="37" priority="8" operator="greaterThan">
      <formula>0</formula>
    </cfRule>
  </conditionalFormatting>
  <conditionalFormatting sqref="S9:S39">
    <cfRule type="cellIs" dxfId="36" priority="5" operator="greaterThan">
      <formula>66</formula>
    </cfRule>
    <cfRule type="cellIs" dxfId="35" priority="6" operator="lessThan">
      <formula>34</formula>
    </cfRule>
  </conditionalFormatting>
  <conditionalFormatting sqref="S41">
    <cfRule type="cellIs" dxfId="34" priority="28" operator="greaterThan">
      <formula>66</formula>
    </cfRule>
    <cfRule type="cellIs" dxfId="33" priority="29" operator="lessThan">
      <formula>34</formula>
    </cfRule>
  </conditionalFormatting>
  <conditionalFormatting sqref="AD38:AF39">
    <cfRule type="expression" dxfId="32" priority="23">
      <formula>$B38&lt;&gt;$B37</formula>
    </cfRule>
  </conditionalFormatting>
  <conditionalFormatting sqref="AE43">
    <cfRule type="expression" dxfId="31" priority="19">
      <formula>$B43&lt;&gt;$B42</formula>
    </cfRule>
  </conditionalFormatting>
  <conditionalFormatting sqref="AH9:AH41">
    <cfRule type="cellIs" dxfId="30" priority="1" operator="lessThan">
      <formula>1</formula>
    </cfRule>
    <cfRule type="cellIs" dxfId="29" priority="2" operator="greaterThan">
      <formula>1</formula>
    </cfRule>
    <cfRule type="expression" dxfId="28" priority="3">
      <formula>$B9&lt;&gt;$B8</formula>
    </cfRule>
    <cfRule type="expression" dxfId="27" priority="264">
      <formula>$B9&lt;&gt;#REF!</formula>
    </cfRule>
  </conditionalFormatting>
  <conditionalFormatting sqref="AZ45">
    <cfRule type="expression" dxfId="25" priority="209">
      <formula>$B46&lt;&gt;$B45</formula>
    </cfRule>
  </conditionalFormatting>
  <pageMargins left="0.7" right="0.7" top="0.75" bottom="0.75" header="0.3" footer="0.3"/>
  <pageSetup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267" id="{00000000-000E-0000-0200-00000F000000}">
            <xm:f>$B11&lt;&gt;'Deleted positions'!$B3</xm:f>
            <x14:dxf>
              <border>
                <top style="thin">
                  <color auto="1"/>
                </top>
                <vertical/>
                <horizontal/>
              </border>
            </x14:dxf>
          </x14:cfRule>
          <xm:sqref>A11:AG11</xm:sqref>
        </x14:conditionalFormatting>
        <x14:conditionalFormatting xmlns:xm="http://schemas.microsoft.com/office/excel/2006/main">
          <x14:cfRule type="expression" priority="277" id="{00000000-000E-0000-0200-00000E000000}">
            <xm:f>$B11&lt;&gt;'Deleted positions'!$B3</xm:f>
            <x14:dxf>
              <border>
                <top style="thin">
                  <color auto="1"/>
                </top>
                <bottom/>
                <vertical/>
                <horizontal/>
              </border>
            </x14:dxf>
          </x14:cfRule>
          <xm:sqref>AH11</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254F4C-D543-41E9-973B-6D7429874537}">
  <dimension ref="A1:AU115"/>
  <sheetViews>
    <sheetView tabSelected="1" zoomScale="75" zoomScaleNormal="75" workbookViewId="0">
      <pane xSplit="5" ySplit="7" topLeftCell="J8" activePane="bottomRight" state="frozen"/>
      <selection pane="topRight" activeCell="F1" sqref="F1"/>
      <selection pane="bottomLeft" activeCell="A8" sqref="A8"/>
      <selection pane="bottomRight" activeCell="AQ17" sqref="AQ17"/>
    </sheetView>
  </sheetViews>
  <sheetFormatPr defaultColWidth="8.7265625" defaultRowHeight="14.5" x14ac:dyDescent="0.35"/>
  <cols>
    <col min="1" max="1" width="15.54296875" style="309" bestFit="1" customWidth="1"/>
    <col min="2" max="2" width="13.26953125" style="309" customWidth="1"/>
    <col min="3" max="3" width="42.26953125" style="317" bestFit="1" customWidth="1"/>
    <col min="4" max="4" width="21.26953125" style="317" customWidth="1"/>
    <col min="5" max="5" width="34.1796875" style="317" customWidth="1"/>
    <col min="6" max="6" width="5.453125" style="317" customWidth="1"/>
    <col min="7" max="7" width="5.81640625" style="310" customWidth="1"/>
    <col min="8" max="8" width="6.26953125" style="310" customWidth="1"/>
    <col min="9" max="9" width="6.7265625" style="310" bestFit="1" customWidth="1"/>
    <col min="10" max="10" width="5.81640625" style="310" bestFit="1" customWidth="1"/>
    <col min="11" max="11" width="5.453125" style="310" bestFit="1" customWidth="1"/>
    <col min="12" max="12" width="7.1796875" style="310" customWidth="1"/>
    <col min="13" max="14" width="8.453125" style="310" bestFit="1" customWidth="1"/>
    <col min="15" max="15" width="8.453125" style="310" customWidth="1"/>
    <col min="16" max="16" width="8.1796875" style="310" bestFit="1" customWidth="1"/>
    <col min="17" max="17" width="6.81640625" style="310" customWidth="1"/>
    <col min="18" max="18" width="8" style="310" customWidth="1"/>
    <col min="19" max="19" width="8.1796875" style="310" customWidth="1"/>
    <col min="20" max="20" width="7.7265625" style="310" bestFit="1" customWidth="1"/>
    <col min="21" max="21" width="6.81640625" style="310" bestFit="1" customWidth="1"/>
    <col min="22" max="22" width="6.81640625" style="310" customWidth="1"/>
    <col min="23" max="23" width="7.26953125" style="310" customWidth="1"/>
    <col min="24" max="25" width="6.1796875" style="310" bestFit="1" customWidth="1"/>
    <col min="26" max="26" width="9.1796875" style="310" customWidth="1"/>
    <col min="27" max="27" width="8.453125" style="310" customWidth="1"/>
    <col min="28" max="28" width="1.90625" style="310" customWidth="1"/>
    <col min="29" max="30" width="1.54296875" style="310" customWidth="1"/>
    <col min="31" max="31" width="10.453125" style="310" customWidth="1"/>
    <col min="32" max="32" width="34.7265625" style="317" bestFit="1" customWidth="1"/>
    <col min="33" max="33" width="10.7265625" style="310" bestFit="1" customWidth="1"/>
    <col min="34" max="34" width="9.1796875" style="310" bestFit="1" customWidth="1"/>
    <col min="35" max="35" width="8.453125" style="310" customWidth="1"/>
    <col min="36" max="36" width="10.7265625" style="310" customWidth="1"/>
    <col min="37" max="38" width="11.1796875" style="299" customWidth="1"/>
    <col min="39" max="39" width="9.26953125" style="310" customWidth="1"/>
    <col min="40" max="40" width="13.453125" style="310" bestFit="1" customWidth="1"/>
    <col min="41" max="42" width="8.54296875" style="310" customWidth="1"/>
    <col min="43" max="43" width="10.7265625" style="310" bestFit="1" customWidth="1"/>
    <col min="44" max="45" width="8.54296875" style="310" customWidth="1"/>
    <col min="46" max="16384" width="8.7265625" style="310"/>
  </cols>
  <sheetData>
    <row r="1" spans="1:47" x14ac:dyDescent="0.35">
      <c r="AJ1" s="459"/>
      <c r="AK1" s="460"/>
    </row>
    <row r="2" spans="1:47" ht="21" x14ac:dyDescent="0.35">
      <c r="A2" s="637" t="s">
        <v>599</v>
      </c>
      <c r="B2" s="637"/>
      <c r="C2" s="637"/>
      <c r="D2" s="637"/>
      <c r="E2" s="637"/>
      <c r="F2" s="637"/>
      <c r="G2" s="637"/>
      <c r="H2" s="637"/>
      <c r="I2" s="637"/>
      <c r="J2" s="637"/>
      <c r="K2" s="637"/>
      <c r="L2" s="637"/>
      <c r="M2" s="637"/>
      <c r="N2" s="637"/>
      <c r="O2" s="637"/>
      <c r="P2" s="637"/>
      <c r="Q2" s="637"/>
      <c r="R2" s="637"/>
      <c r="S2" s="637"/>
      <c r="T2" s="637"/>
      <c r="U2" s="637"/>
      <c r="V2" s="637"/>
      <c r="W2" s="637"/>
      <c r="X2" s="637"/>
      <c r="Y2" s="637"/>
      <c r="Z2" s="637"/>
      <c r="AA2" s="636" t="s">
        <v>600</v>
      </c>
      <c r="AB2" s="636"/>
      <c r="AC2" s="636"/>
      <c r="AD2" s="636"/>
      <c r="AE2" s="636"/>
      <c r="AF2" s="636"/>
      <c r="AG2" s="636"/>
      <c r="AH2" s="636"/>
      <c r="AI2" s="636"/>
      <c r="AJ2" s="636"/>
      <c r="AK2" s="636"/>
      <c r="AL2" s="636"/>
      <c r="AM2" s="636"/>
      <c r="AN2" s="636"/>
      <c r="AO2" s="636"/>
      <c r="AP2" s="636"/>
      <c r="AQ2" s="636"/>
      <c r="AR2" s="636"/>
      <c r="AS2" s="636"/>
      <c r="AT2" s="636"/>
    </row>
    <row r="3" spans="1:47" x14ac:dyDescent="0.35">
      <c r="E3" s="318" t="s">
        <v>601</v>
      </c>
      <c r="F3" s="319" t="s">
        <v>451</v>
      </c>
      <c r="G3" s="603" t="s">
        <v>602</v>
      </c>
      <c r="H3" s="604"/>
      <c r="I3" s="604"/>
      <c r="J3" s="604"/>
      <c r="K3" s="604"/>
      <c r="L3" s="309"/>
      <c r="M3" s="309"/>
      <c r="N3" s="309"/>
      <c r="O3" s="350" t="s">
        <v>453</v>
      </c>
      <c r="P3" s="643" t="s">
        <v>451</v>
      </c>
      <c r="Q3" s="644"/>
      <c r="R3" s="644"/>
      <c r="S3" s="645"/>
      <c r="T3" s="320"/>
      <c r="U3" s="320"/>
      <c r="V3" s="350" t="s">
        <v>451</v>
      </c>
      <c r="W3" s="320"/>
      <c r="X3" s="603" t="s">
        <v>454</v>
      </c>
      <c r="Y3" s="604"/>
      <c r="Z3" s="605"/>
      <c r="AA3" s="321"/>
      <c r="AB3" s="660"/>
      <c r="AC3" s="302"/>
      <c r="AD3" s="302"/>
      <c r="AE3" s="302"/>
    </row>
    <row r="4" spans="1:47" x14ac:dyDescent="0.35">
      <c r="E4" s="318" t="s">
        <v>603</v>
      </c>
      <c r="F4" s="403" t="s">
        <v>456</v>
      </c>
      <c r="G4" s="641" t="s">
        <v>602</v>
      </c>
      <c r="H4" s="642"/>
      <c r="I4" s="642"/>
      <c r="J4" s="642"/>
      <c r="K4" s="642"/>
      <c r="L4" s="309"/>
      <c r="M4" s="309"/>
      <c r="N4" s="309"/>
      <c r="O4" s="350" t="s">
        <v>456</v>
      </c>
      <c r="P4" s="643" t="s">
        <v>451</v>
      </c>
      <c r="Q4" s="644"/>
      <c r="R4" s="644"/>
      <c r="S4" s="645"/>
      <c r="T4" s="320"/>
      <c r="U4" s="320"/>
      <c r="V4" s="350" t="s">
        <v>451</v>
      </c>
      <c r="W4" s="320"/>
      <c r="X4" s="555"/>
      <c r="Y4" s="309"/>
      <c r="Z4" s="309"/>
      <c r="AA4" s="321"/>
      <c r="AB4" s="660"/>
      <c r="AC4" s="302"/>
      <c r="AD4" s="302"/>
      <c r="AE4" s="302"/>
    </row>
    <row r="5" spans="1:47" s="351" customFormat="1" x14ac:dyDescent="0.35">
      <c r="A5" s="402" t="s">
        <v>26</v>
      </c>
      <c r="B5" s="628" t="s">
        <v>460</v>
      </c>
      <c r="C5" s="629"/>
      <c r="D5" s="629"/>
      <c r="E5" s="629"/>
      <c r="F5" s="629"/>
      <c r="G5" s="629"/>
      <c r="H5" s="629"/>
      <c r="I5" s="629"/>
      <c r="J5" s="629"/>
      <c r="K5" s="629"/>
      <c r="L5" s="634"/>
      <c r="M5" s="634"/>
      <c r="N5" s="634"/>
      <c r="O5" s="634"/>
      <c r="P5" s="634"/>
      <c r="Q5" s="634"/>
      <c r="R5" s="634"/>
      <c r="S5" s="634"/>
      <c r="T5" s="634"/>
      <c r="U5" s="634"/>
      <c r="V5" s="634"/>
      <c r="W5" s="634"/>
      <c r="X5" s="634"/>
      <c r="Y5" s="634"/>
      <c r="Z5" s="635"/>
      <c r="AA5" s="657" t="s">
        <v>461</v>
      </c>
      <c r="AB5" s="658"/>
      <c r="AC5" s="658"/>
      <c r="AD5" s="658"/>
      <c r="AE5" s="658"/>
      <c r="AF5" s="658"/>
      <c r="AG5" s="658"/>
      <c r="AH5" s="658"/>
      <c r="AI5" s="658"/>
      <c r="AJ5" s="658"/>
      <c r="AK5" s="658"/>
      <c r="AL5" s="658"/>
      <c r="AM5" s="658"/>
      <c r="AN5" s="658"/>
      <c r="AO5" s="658"/>
      <c r="AP5" s="658"/>
      <c r="AQ5" s="658"/>
      <c r="AR5" s="658"/>
      <c r="AS5" s="658"/>
      <c r="AT5" s="658"/>
      <c r="AU5" s="658"/>
    </row>
    <row r="6" spans="1:47" s="353" customFormat="1" ht="14.5" customHeight="1" x14ac:dyDescent="0.35">
      <c r="A6" s="388"/>
      <c r="B6"/>
      <c r="C6"/>
      <c r="D6" s="404"/>
      <c r="E6" s="404"/>
      <c r="F6" s="646" t="s">
        <v>604</v>
      </c>
      <c r="G6" s="647"/>
      <c r="H6" s="648"/>
      <c r="I6" s="646" t="s">
        <v>605</v>
      </c>
      <c r="J6" s="647"/>
      <c r="K6" s="648"/>
      <c r="L6" s="352"/>
      <c r="M6" s="638" t="s">
        <v>462</v>
      </c>
      <c r="N6" s="640"/>
      <c r="O6" s="638" t="s">
        <v>606</v>
      </c>
      <c r="P6" s="639"/>
      <c r="Q6" s="639"/>
      <c r="R6" s="640"/>
      <c r="S6" s="638" t="s">
        <v>607</v>
      </c>
      <c r="T6" s="639"/>
      <c r="U6" s="640"/>
      <c r="V6" s="554"/>
      <c r="W6" s="638" t="s">
        <v>465</v>
      </c>
      <c r="X6" s="639"/>
      <c r="Y6" s="640"/>
      <c r="Z6" s="593">
        <f>'Aggressive Portfolio Evals'!X7</f>
        <v>45890</v>
      </c>
      <c r="AA6" s="594"/>
      <c r="AB6" s="594"/>
      <c r="AC6" s="594"/>
      <c r="AD6" s="594"/>
      <c r="AE6" s="594"/>
      <c r="AF6" s="595"/>
      <c r="AG6" s="593">
        <v>45898</v>
      </c>
      <c r="AH6" s="594"/>
      <c r="AI6" s="594"/>
      <c r="AJ6" s="594"/>
      <c r="AK6" s="594"/>
      <c r="AL6" s="594"/>
      <c r="AM6" s="595"/>
      <c r="AN6" s="659">
        <v>45933</v>
      </c>
      <c r="AO6" s="676"/>
      <c r="AP6" s="676"/>
      <c r="AQ6" s="676"/>
      <c r="AR6" s="676"/>
      <c r="AS6" s="676"/>
      <c r="AT6" s="676"/>
      <c r="AU6" s="351"/>
    </row>
    <row r="7" spans="1:47" ht="58" x14ac:dyDescent="0.35">
      <c r="A7" s="360" t="s">
        <v>26</v>
      </c>
      <c r="B7" s="323" t="s">
        <v>608</v>
      </c>
      <c r="C7" s="323" t="s">
        <v>471</v>
      </c>
      <c r="D7" s="323" t="s">
        <v>472</v>
      </c>
      <c r="E7" s="323" t="s">
        <v>473</v>
      </c>
      <c r="F7" s="324" t="s">
        <v>609</v>
      </c>
      <c r="G7" s="325" t="s">
        <v>610</v>
      </c>
      <c r="H7" s="326" t="s">
        <v>611</v>
      </c>
      <c r="I7" s="324" t="s">
        <v>612</v>
      </c>
      <c r="J7" s="325" t="s">
        <v>613</v>
      </c>
      <c r="K7" s="326" t="s">
        <v>614</v>
      </c>
      <c r="L7" s="328" t="s">
        <v>474</v>
      </c>
      <c r="M7" s="327" t="s">
        <v>475</v>
      </c>
      <c r="N7" s="348" t="s">
        <v>476</v>
      </c>
      <c r="O7" s="329" t="s">
        <v>477</v>
      </c>
      <c r="P7" s="329" t="s">
        <v>478</v>
      </c>
      <c r="Q7" s="329" t="s">
        <v>479</v>
      </c>
      <c r="R7" s="329" t="s">
        <v>480</v>
      </c>
      <c r="S7" s="325" t="s">
        <v>481</v>
      </c>
      <c r="T7" s="325" t="s">
        <v>482</v>
      </c>
      <c r="U7" s="325" t="s">
        <v>483</v>
      </c>
      <c r="V7" s="324" t="s">
        <v>484</v>
      </c>
      <c r="W7" s="327" t="s">
        <v>487</v>
      </c>
      <c r="X7" s="328" t="s">
        <v>488</v>
      </c>
      <c r="Y7" s="330" t="s">
        <v>489</v>
      </c>
      <c r="Z7" s="331" t="s">
        <v>281</v>
      </c>
      <c r="AA7" s="332"/>
      <c r="AB7" s="332"/>
      <c r="AC7" s="332"/>
      <c r="AD7" s="332"/>
      <c r="AE7" s="328" t="s">
        <v>495</v>
      </c>
      <c r="AF7" s="513" t="s">
        <v>290</v>
      </c>
      <c r="AG7" s="331" t="s">
        <v>281</v>
      </c>
      <c r="AH7" s="332" t="s">
        <v>491</v>
      </c>
      <c r="AI7" s="332" t="s">
        <v>492</v>
      </c>
      <c r="AJ7" s="334" t="s">
        <v>753</v>
      </c>
      <c r="AK7" s="334" t="s">
        <v>615</v>
      </c>
      <c r="AL7" s="328" t="s">
        <v>495</v>
      </c>
      <c r="AM7" s="333" t="s">
        <v>290</v>
      </c>
      <c r="AN7" s="331" t="s">
        <v>281</v>
      </c>
      <c r="AO7" s="332" t="s">
        <v>491</v>
      </c>
      <c r="AP7" s="332" t="s">
        <v>492</v>
      </c>
      <c r="AQ7" s="334" t="s">
        <v>753</v>
      </c>
      <c r="AR7" s="334" t="s">
        <v>615</v>
      </c>
      <c r="AS7" s="328" t="s">
        <v>495</v>
      </c>
      <c r="AT7" s="333" t="s">
        <v>290</v>
      </c>
    </row>
    <row r="8" spans="1:47" x14ac:dyDescent="0.35">
      <c r="A8" s="360"/>
      <c r="B8" s="661"/>
      <c r="C8" s="661"/>
      <c r="D8" s="661"/>
      <c r="E8" s="661"/>
      <c r="F8" s="662"/>
      <c r="G8" s="663"/>
      <c r="H8" s="664"/>
      <c r="I8" s="662"/>
      <c r="J8" s="663"/>
      <c r="K8" s="664"/>
      <c r="L8" s="665"/>
      <c r="M8" s="666"/>
      <c r="N8" s="667"/>
      <c r="O8" s="668"/>
      <c r="P8" s="668"/>
      <c r="Q8" s="668"/>
      <c r="R8" s="668"/>
      <c r="S8" s="663"/>
      <c r="T8" s="663"/>
      <c r="U8" s="663"/>
      <c r="V8" s="662"/>
      <c r="W8" s="666"/>
      <c r="X8" s="665"/>
      <c r="Y8" s="665"/>
      <c r="Z8" s="669"/>
      <c r="AA8" s="670"/>
      <c r="AB8" s="670"/>
      <c r="AC8" s="670"/>
      <c r="AD8" s="670"/>
      <c r="AE8" s="665"/>
      <c r="AF8" s="661"/>
      <c r="AG8" s="669"/>
      <c r="AH8" s="670"/>
      <c r="AI8" s="670"/>
      <c r="AJ8" s="671"/>
      <c r="AK8" s="671"/>
      <c r="AL8" s="665"/>
      <c r="AM8" s="672"/>
      <c r="AO8" s="675"/>
      <c r="AP8" s="675"/>
      <c r="AQ8" s="674">
        <f>Z6</f>
        <v>45890</v>
      </c>
      <c r="AR8" s="675"/>
      <c r="AS8" s="675"/>
      <c r="AT8" s="675"/>
    </row>
    <row r="9" spans="1:47" ht="29" x14ac:dyDescent="0.35">
      <c r="A9" s="309" t="s">
        <v>0</v>
      </c>
      <c r="B9" s="317" t="s">
        <v>33</v>
      </c>
      <c r="C9" s="317" t="s">
        <v>616</v>
      </c>
      <c r="D9" s="317" t="s">
        <v>617</v>
      </c>
      <c r="E9" s="369" t="s">
        <v>618</v>
      </c>
      <c r="F9" s="625" t="s">
        <v>619</v>
      </c>
      <c r="G9" s="626"/>
      <c r="H9" s="627"/>
      <c r="I9" s="344">
        <v>1</v>
      </c>
      <c r="J9" s="405">
        <v>0</v>
      </c>
      <c r="K9" s="406">
        <v>0</v>
      </c>
      <c r="L9" s="345" t="s">
        <v>500</v>
      </c>
      <c r="M9" s="555" t="s">
        <v>620</v>
      </c>
      <c r="N9" s="349">
        <v>4.2999999999999997E-2</v>
      </c>
      <c r="O9" s="548">
        <v>1</v>
      </c>
      <c r="P9" s="346">
        <v>1</v>
      </c>
      <c r="Q9" s="346">
        <v>1</v>
      </c>
      <c r="R9" s="346">
        <v>1</v>
      </c>
      <c r="S9" s="549" t="s">
        <v>621</v>
      </c>
      <c r="T9" s="549" t="s">
        <v>621</v>
      </c>
      <c r="U9" s="549" t="s">
        <v>621</v>
      </c>
      <c r="V9" s="548">
        <v>4.3</v>
      </c>
      <c r="W9" s="555" t="s">
        <v>621</v>
      </c>
      <c r="X9" s="309" t="s">
        <v>621</v>
      </c>
      <c r="Y9" s="309" t="s">
        <v>621</v>
      </c>
      <c r="Z9" s="321" t="e">
        <f>_xlfn.XLOOKUP($B9,Downloads!A$2:A$501,Downloads!B$2:B$501)</f>
        <v>#N/A</v>
      </c>
      <c r="AA9" s="336"/>
      <c r="AB9" s="336"/>
      <c r="AC9" s="336"/>
      <c r="AD9" s="336"/>
      <c r="AE9" s="347"/>
      <c r="AF9" s="503"/>
      <c r="AG9" s="321" cm="1">
        <f t="array" ref="AG9">_xlfn.XLOOKUP($A9&amp;$B9,Downloads!$G$2:'Downloads'!$G$501&amp;Downloads!$H$2:'Downloads'!$H$501,Downloads!I$2:I$501)</f>
        <v>235315.36</v>
      </c>
      <c r="AH9" s="512" cm="1">
        <f t="array" ref="AH9">_xlfn.XLOOKUP($A9&amp;$B9,Downloads!$G$2:'Downloads'!$G$501&amp;Downloads!$H$2:'Downloads'!$H$501,Downloads!J$2:J$501)</f>
        <v>0</v>
      </c>
      <c r="AI9" s="512" cm="1">
        <f t="array" ref="AI9">_xlfn.XLOOKUP($A9&amp;$B9,Downloads!$G$2:'Downloads'!$G$501&amp;Downloads!$H$2:'Downloads'!$H$501,Downloads!K$2:K$501)</f>
        <v>0</v>
      </c>
      <c r="AJ9" s="299" t="e">
        <f>(AG9-Z9)/Z9</f>
        <v>#N/A</v>
      </c>
      <c r="AK9" s="361" t="e">
        <f>(AJ9)/AJ$36</f>
        <v>#N/A</v>
      </c>
      <c r="AL9" s="317"/>
      <c r="AM9" s="515"/>
      <c r="AN9" s="310">
        <v>470630</v>
      </c>
    </row>
    <row r="10" spans="1:47" ht="29" x14ac:dyDescent="0.35">
      <c r="A10" s="309" t="s">
        <v>29</v>
      </c>
      <c r="B10" s="317" t="s">
        <v>33</v>
      </c>
      <c r="C10" s="317" t="s">
        <v>616</v>
      </c>
      <c r="D10" s="317" t="s">
        <v>617</v>
      </c>
      <c r="E10" s="369" t="s">
        <v>618</v>
      </c>
      <c r="F10" s="625" t="s">
        <v>619</v>
      </c>
      <c r="G10" s="626"/>
      <c r="H10" s="627"/>
      <c r="I10" s="344">
        <v>1</v>
      </c>
      <c r="J10" s="405">
        <v>0</v>
      </c>
      <c r="K10" s="406">
        <v>0</v>
      </c>
      <c r="L10" s="345" t="s">
        <v>500</v>
      </c>
      <c r="M10" s="555" t="s">
        <v>620</v>
      </c>
      <c r="N10" s="349">
        <v>4.3499999999999997E-2</v>
      </c>
      <c r="O10" s="548">
        <v>1</v>
      </c>
      <c r="P10" s="346">
        <v>1</v>
      </c>
      <c r="Q10" s="346">
        <v>1</v>
      </c>
      <c r="R10" s="346">
        <v>1</v>
      </c>
      <c r="S10" s="549" t="s">
        <v>621</v>
      </c>
      <c r="T10" s="549" t="s">
        <v>621</v>
      </c>
      <c r="U10" s="549" t="s">
        <v>621</v>
      </c>
      <c r="V10" s="335">
        <f>N10</f>
        <v>4.3499999999999997E-2</v>
      </c>
      <c r="W10" s="555" t="s">
        <v>621</v>
      </c>
      <c r="X10" s="309" t="s">
        <v>621</v>
      </c>
      <c r="Y10" s="309" t="s">
        <v>621</v>
      </c>
      <c r="Z10" s="321" t="e">
        <f>_xlfn.XLOOKUP($B10,Downloads!A$2:A$501,Downloads!B$2:B$501)</f>
        <v>#N/A</v>
      </c>
      <c r="AA10" s="336"/>
      <c r="AB10" s="336"/>
      <c r="AC10" s="336"/>
      <c r="AD10" s="336"/>
      <c r="AE10" s="347"/>
      <c r="AF10" s="503"/>
      <c r="AG10" s="321" cm="1">
        <f t="array" ref="AG10">_xlfn.XLOOKUP($A10&amp;$B10,Downloads!$G$2:'Downloads'!$G$501&amp;Downloads!$H$2:'Downloads'!$H$501,Downloads!I$2:I$501)</f>
        <v>0</v>
      </c>
      <c r="AH10" s="512" cm="1">
        <f t="array" ref="AH10">_xlfn.XLOOKUP($A10&amp;$B10,Downloads!$G$2:'Downloads'!$G$501&amp;Downloads!$H$2:'Downloads'!$H$501,Downloads!J$2:J$501)</f>
        <v>0</v>
      </c>
      <c r="AI10" s="512" cm="1">
        <f t="array" ref="AI10">_xlfn.XLOOKUP($A10&amp;$B10,Downloads!$G$2:'Downloads'!$G$501&amp;Downloads!$H$2:'Downloads'!$H$501,Downloads!K$2:K$501)</f>
        <v>0</v>
      </c>
      <c r="AJ10" s="299" t="e">
        <f>(AG10-Z10)/Z10</f>
        <v>#N/A</v>
      </c>
      <c r="AK10" s="361" t="e">
        <f t="shared" ref="AK10:AK34" si="0">(AJ10)/AJ$36</f>
        <v>#N/A</v>
      </c>
      <c r="AL10" s="317"/>
      <c r="AM10" s="515"/>
    </row>
    <row r="11" spans="1:47" ht="29" x14ac:dyDescent="0.35">
      <c r="A11" s="309" t="s">
        <v>28</v>
      </c>
      <c r="B11" s="317" t="s">
        <v>33</v>
      </c>
      <c r="C11" s="317" t="s">
        <v>616</v>
      </c>
      <c r="D11" s="317" t="s">
        <v>617</v>
      </c>
      <c r="E11" s="369" t="s">
        <v>618</v>
      </c>
      <c r="F11" s="625" t="s">
        <v>619</v>
      </c>
      <c r="G11" s="626"/>
      <c r="H11" s="627"/>
      <c r="I11" s="344">
        <v>1</v>
      </c>
      <c r="J11" s="405">
        <v>0</v>
      </c>
      <c r="K11" s="406">
        <v>0</v>
      </c>
      <c r="L11" s="345" t="s">
        <v>500</v>
      </c>
      <c r="M11" s="555" t="s">
        <v>620</v>
      </c>
      <c r="N11" s="349">
        <v>4.3499999999999997E-2</v>
      </c>
      <c r="O11" s="548">
        <v>1</v>
      </c>
      <c r="P11" s="346">
        <v>1</v>
      </c>
      <c r="Q11" s="346">
        <v>1</v>
      </c>
      <c r="R11" s="346">
        <v>1</v>
      </c>
      <c r="S11" s="549" t="s">
        <v>621</v>
      </c>
      <c r="T11" s="549" t="s">
        <v>621</v>
      </c>
      <c r="U11" s="549" t="s">
        <v>621</v>
      </c>
      <c r="V11" s="335">
        <f>N11</f>
        <v>4.3499999999999997E-2</v>
      </c>
      <c r="W11" s="555" t="s">
        <v>621</v>
      </c>
      <c r="X11" s="309" t="s">
        <v>621</v>
      </c>
      <c r="Y11" s="309" t="s">
        <v>621</v>
      </c>
      <c r="Z11" s="321" t="e">
        <f>_xlfn.XLOOKUP($B11,Downloads!A$2:A$501,Downloads!B$2:B$501)</f>
        <v>#N/A</v>
      </c>
      <c r="AA11" s="336"/>
      <c r="AB11" s="336"/>
      <c r="AC11" s="336"/>
      <c r="AD11" s="336"/>
      <c r="AE11" s="347"/>
      <c r="AF11" s="503"/>
      <c r="AG11" s="321" cm="1">
        <f t="array" ref="AG11">_xlfn.XLOOKUP($A11&amp;$B11,Downloads!$G$2:'Downloads'!$G$501&amp;Downloads!$H$2:'Downloads'!$H$501,Downloads!I$2:I$501)</f>
        <v>172329.27</v>
      </c>
      <c r="AH11" s="512" cm="1">
        <f t="array" ref="AH11">_xlfn.XLOOKUP($A11&amp;$B11,Downloads!$G$2:'Downloads'!$G$501&amp;Downloads!$H$2:'Downloads'!$H$501,Downloads!J$2:J$501)</f>
        <v>0</v>
      </c>
      <c r="AI11" s="512" cm="1">
        <f t="array" ref="AI11">_xlfn.XLOOKUP($A11&amp;$B11,Downloads!$G$2:'Downloads'!$G$501&amp;Downloads!$H$2:'Downloads'!$H$501,Downloads!K$2:K$501)</f>
        <v>0</v>
      </c>
      <c r="AJ11" s="299" t="e">
        <f>(AG11-Z11)/Z11</f>
        <v>#N/A</v>
      </c>
      <c r="AK11" s="361" t="e">
        <f t="shared" si="0"/>
        <v>#N/A</v>
      </c>
      <c r="AL11" s="317"/>
      <c r="AM11" s="515"/>
    </row>
    <row r="12" spans="1:47" ht="29" x14ac:dyDescent="0.35">
      <c r="A12" s="309" t="s">
        <v>8</v>
      </c>
      <c r="B12" s="317" t="s">
        <v>33</v>
      </c>
      <c r="C12" s="317" t="s">
        <v>616</v>
      </c>
      <c r="D12" s="317" t="s">
        <v>617</v>
      </c>
      <c r="E12" s="369" t="s">
        <v>618</v>
      </c>
      <c r="F12" s="625" t="s">
        <v>619</v>
      </c>
      <c r="G12" s="626"/>
      <c r="H12" s="627"/>
      <c r="I12" s="344">
        <v>1</v>
      </c>
      <c r="J12" s="405">
        <v>0</v>
      </c>
      <c r="K12" s="406">
        <v>0</v>
      </c>
      <c r="L12" s="345" t="s">
        <v>500</v>
      </c>
      <c r="M12" s="555" t="s">
        <v>620</v>
      </c>
      <c r="N12" s="349">
        <v>4.2999999999999997E-2</v>
      </c>
      <c r="O12" s="548">
        <v>1</v>
      </c>
      <c r="P12" s="346">
        <v>1</v>
      </c>
      <c r="Q12" s="346">
        <v>1</v>
      </c>
      <c r="R12" s="346">
        <v>1</v>
      </c>
      <c r="S12" s="549" t="s">
        <v>621</v>
      </c>
      <c r="T12" s="549" t="s">
        <v>621</v>
      </c>
      <c r="U12" s="549" t="s">
        <v>621</v>
      </c>
      <c r="V12" s="548">
        <v>4.3</v>
      </c>
      <c r="W12" s="555" t="s">
        <v>621</v>
      </c>
      <c r="X12" s="309" t="s">
        <v>621</v>
      </c>
      <c r="Y12" s="309" t="s">
        <v>621</v>
      </c>
      <c r="Z12" s="321" t="e">
        <f>_xlfn.XLOOKUP($B12,Downloads!A$2:A$501,Downloads!B$2:B$501)</f>
        <v>#N/A</v>
      </c>
      <c r="AA12" s="336"/>
      <c r="AB12" s="336"/>
      <c r="AC12" s="336"/>
      <c r="AD12" s="336"/>
      <c r="AE12" s="347"/>
      <c r="AF12" s="503"/>
      <c r="AG12" s="321" cm="1">
        <f t="array" ref="AG12">_xlfn.XLOOKUP($A12&amp;$B12,Downloads!$G$2:'Downloads'!$G$501&amp;Downloads!$H$2:'Downloads'!$H$501,Downloads!I$2:I$501)</f>
        <v>1163.93</v>
      </c>
      <c r="AH12" s="512" cm="1">
        <f t="array" ref="AH12">_xlfn.XLOOKUP($A12&amp;$B12,Downloads!$G$2:'Downloads'!$G$501&amp;Downloads!$H$2:'Downloads'!$H$501,Downloads!J$2:J$501)</f>
        <v>0</v>
      </c>
      <c r="AI12" s="512" cm="1">
        <f t="array" ref="AI12">_xlfn.XLOOKUP($A12&amp;$B12,Downloads!$G$2:'Downloads'!$G$501&amp;Downloads!$H$2:'Downloads'!$H$501,Downloads!K$2:K$501)</f>
        <v>0</v>
      </c>
      <c r="AJ12" s="299" t="e">
        <f>(AG12-Z12)/Z12</f>
        <v>#N/A</v>
      </c>
      <c r="AK12" s="361" t="e">
        <f t="shared" si="0"/>
        <v>#N/A</v>
      </c>
      <c r="AL12" s="317"/>
      <c r="AM12" s="515"/>
    </row>
    <row r="13" spans="1:47" ht="29" x14ac:dyDescent="0.35">
      <c r="A13" s="309" t="s">
        <v>28</v>
      </c>
      <c r="B13" s="407" t="s">
        <v>60</v>
      </c>
      <c r="C13" s="317" t="s">
        <v>622</v>
      </c>
      <c r="D13" s="317" t="s">
        <v>623</v>
      </c>
      <c r="E13" s="369"/>
      <c r="F13" s="548"/>
      <c r="G13" s="549"/>
      <c r="H13" s="550"/>
      <c r="I13" s="344"/>
      <c r="J13" s="405"/>
      <c r="K13" s="406"/>
      <c r="L13" s="345"/>
      <c r="M13" s="555"/>
      <c r="N13" s="349"/>
      <c r="O13" s="548"/>
      <c r="P13" s="346"/>
      <c r="Q13" s="346"/>
      <c r="R13" s="346"/>
      <c r="S13" s="549"/>
      <c r="T13" s="549"/>
      <c r="U13" s="549"/>
      <c r="V13" s="548"/>
      <c r="W13" s="555"/>
      <c r="X13" s="309"/>
      <c r="Y13" s="309"/>
      <c r="Z13" s="321"/>
      <c r="AA13" s="336"/>
      <c r="AB13" s="336"/>
      <c r="AC13" s="336"/>
      <c r="AD13" s="336"/>
      <c r="AE13" s="347"/>
      <c r="AF13" s="503"/>
      <c r="AG13" s="321" cm="1">
        <f t="array" ref="AG13">_xlfn.XLOOKUP($A13&amp;$B13,Downloads!$G$2:'Downloads'!$G$501&amp;Downloads!$H$2:'Downloads'!$H$501,Downloads!I$2:I$501)</f>
        <v>8990.19</v>
      </c>
      <c r="AH13" s="512" cm="1">
        <f t="array" ref="AH13">_xlfn.XLOOKUP($A13&amp;$B13,Downloads!$G$2:'Downloads'!$G$501&amp;Downloads!$H$2:'Downloads'!$H$501,Downloads!J$2:J$501)</f>
        <v>9000</v>
      </c>
      <c r="AI13" s="512" t="str" cm="1">
        <f t="array" ref="AI13">_xlfn.XLOOKUP($A13&amp;$B13,Downloads!$G$2:'Downloads'!$G$501&amp;Downloads!$H$2:'Downloads'!$H$501,Downloads!K$2:K$501)</f>
        <v>--</v>
      </c>
      <c r="AJ13" s="299" t="e">
        <f>(AG13-Z13)/Z13</f>
        <v>#DIV/0!</v>
      </c>
      <c r="AK13" s="361" t="e">
        <f t="shared" si="0"/>
        <v>#DIV/0!</v>
      </c>
      <c r="AL13" s="317"/>
      <c r="AM13" s="515"/>
    </row>
    <row r="14" spans="1:47" x14ac:dyDescent="0.35">
      <c r="A14" s="309" t="s">
        <v>29</v>
      </c>
      <c r="B14" s="408" t="s">
        <v>128</v>
      </c>
      <c r="C14" s="317" t="s">
        <v>625</v>
      </c>
      <c r="D14" s="317" t="s">
        <v>623</v>
      </c>
      <c r="E14" s="317" t="s">
        <v>626</v>
      </c>
      <c r="F14" s="555">
        <v>0</v>
      </c>
      <c r="G14" s="309">
        <v>100</v>
      </c>
      <c r="H14" s="556">
        <v>0</v>
      </c>
      <c r="I14" s="551">
        <v>0.99</v>
      </c>
      <c r="J14" s="552">
        <v>0</v>
      </c>
      <c r="K14" s="553">
        <v>0</v>
      </c>
      <c r="L14" s="299" t="s">
        <v>501</v>
      </c>
      <c r="M14" s="555" t="s">
        <v>620</v>
      </c>
      <c r="N14" s="547">
        <v>4.2000000000000003E-2</v>
      </c>
      <c r="O14" s="555">
        <v>24.37</v>
      </c>
      <c r="P14" s="309">
        <v>24.22</v>
      </c>
      <c r="Q14" s="309">
        <v>24.28</v>
      </c>
      <c r="R14" s="309">
        <v>24.37</v>
      </c>
      <c r="S14" s="299">
        <f>(R14-Q14)/Q14</f>
        <v>3.7067545304777533E-3</v>
      </c>
      <c r="T14" s="299">
        <f>(R14-P14)/P14</f>
        <v>6.1932287365814263E-3</v>
      </c>
      <c r="U14" s="299">
        <f>(R14-O14)/O14</f>
        <v>0</v>
      </c>
      <c r="V14" s="337">
        <v>4.4200000000000003E-2</v>
      </c>
      <c r="W14" s="555" t="s">
        <v>505</v>
      </c>
      <c r="X14" s="309" t="s">
        <v>505</v>
      </c>
      <c r="Y14" s="309" t="s">
        <v>505</v>
      </c>
      <c r="Z14" s="321">
        <f>_xlfn.XLOOKUP($B14,Downloads!A$2:A$501,Downloads!B$2:B$501)</f>
        <v>14592</v>
      </c>
      <c r="AA14" s="302"/>
      <c r="AB14" s="302"/>
      <c r="AC14" s="302"/>
      <c r="AD14" s="302"/>
      <c r="AE14" s="309" t="s">
        <v>627</v>
      </c>
      <c r="AG14" s="321" cm="1">
        <f t="array" ref="AG14">_xlfn.XLOOKUP($A14&amp;$B14,Downloads!$G$2:'Downloads'!$G$501&amp;Downloads!$H$2:'Downloads'!$H$501,Downloads!I$2:I$501)</f>
        <v>14604.12</v>
      </c>
      <c r="AH14" s="512" cm="1">
        <f t="array" ref="AH14">_xlfn.XLOOKUP($A14&amp;$B14,Downloads!$G$2:'Downloads'!$G$501&amp;Downloads!$H$2:'Downloads'!$H$501,Downloads!J$2:J$501)</f>
        <v>600</v>
      </c>
      <c r="AI14" s="512" cm="1">
        <f t="array" ref="AI14">_xlfn.XLOOKUP($A14&amp;$B14,Downloads!$G$2:'Downloads'!$G$501&amp;Downloads!$H$2:'Downloads'!$H$501,Downloads!K$2:K$501)</f>
        <v>25.65</v>
      </c>
      <c r="AJ14" s="299">
        <f>(AG14-Z14)/Z14</f>
        <v>8.3059210526321276E-4</v>
      </c>
      <c r="AK14" s="361">
        <f>(AJ14)/AJ$36</f>
        <v>0.3348690001853542</v>
      </c>
      <c r="AL14" s="317"/>
      <c r="AM14" s="515"/>
      <c r="AN14" s="656">
        <f>2*AG14</f>
        <v>29208.240000000002</v>
      </c>
      <c r="AQ14" s="299">
        <f>(AN14-AG14)/AG14</f>
        <v>1</v>
      </c>
    </row>
    <row r="15" spans="1:47" x14ac:dyDescent="0.35">
      <c r="A15" s="309" t="s">
        <v>8</v>
      </c>
      <c r="B15" s="317" t="s">
        <v>139</v>
      </c>
      <c r="C15" s="317" t="s">
        <v>628</v>
      </c>
      <c r="D15" s="317" t="s">
        <v>623</v>
      </c>
      <c r="E15" s="317" t="s">
        <v>629</v>
      </c>
      <c r="F15" s="555">
        <v>0</v>
      </c>
      <c r="G15" s="309">
        <v>100</v>
      </c>
      <c r="H15" s="309">
        <v>0</v>
      </c>
      <c r="I15" s="551">
        <v>0.93</v>
      </c>
      <c r="J15" s="552">
        <v>0.06</v>
      </c>
      <c r="K15" s="553">
        <v>0</v>
      </c>
      <c r="L15" s="299" t="s">
        <v>501</v>
      </c>
      <c r="M15" s="555" t="s">
        <v>620</v>
      </c>
      <c r="N15" s="547">
        <v>4.2500000000000003E-2</v>
      </c>
      <c r="O15" s="555">
        <v>52.18</v>
      </c>
      <c r="P15" s="309">
        <v>52.08</v>
      </c>
      <c r="Q15" s="309">
        <v>52.66</v>
      </c>
      <c r="R15" s="309">
        <v>52.94</v>
      </c>
      <c r="S15" s="299">
        <f>(R15-Q15)/Q15</f>
        <v>5.3171287504747656E-3</v>
      </c>
      <c r="T15" s="299">
        <f>(R15-P15)/P15</f>
        <v>1.6513056835637471E-2</v>
      </c>
      <c r="U15" s="299">
        <f>(R15-O15)/O15</f>
        <v>1.4564967420467574E-2</v>
      </c>
      <c r="V15" s="338">
        <v>5.8999999999999997E-2</v>
      </c>
      <c r="W15" s="555" t="s">
        <v>505</v>
      </c>
      <c r="X15" s="309" t="s">
        <v>503</v>
      </c>
      <c r="Y15" s="309" t="s">
        <v>505</v>
      </c>
      <c r="Z15" s="321">
        <f>_xlfn.XLOOKUP($B15,Downloads!A$2:A$501,Downloads!B$2:B$501)</f>
        <v>12695</v>
      </c>
      <c r="AA15" s="302"/>
      <c r="AB15" s="302"/>
      <c r="AC15" s="302"/>
      <c r="AD15" s="302"/>
      <c r="AE15" s="309" t="s">
        <v>510</v>
      </c>
      <c r="AG15" s="321" cm="1">
        <f t="array" ref="AG15">_xlfn.XLOOKUP($A15&amp;$B15,Downloads!$G$2:'Downloads'!$G$501&amp;Downloads!$H$2:'Downloads'!$H$501,Downloads!I$2:I$501)</f>
        <v>12668.46</v>
      </c>
      <c r="AH15" s="512" cm="1">
        <f t="array" ref="AH15">_xlfn.XLOOKUP($A15&amp;$B15,Downloads!$G$2:'Downloads'!$G$501&amp;Downloads!$H$2:'Downloads'!$H$501,Downloads!J$2:J$501)</f>
        <v>240</v>
      </c>
      <c r="AI15" s="512" cm="1">
        <f t="array" ref="AI15">_xlfn.XLOOKUP($A15&amp;$B15,Downloads!$G$2:'Downloads'!$G$501&amp;Downloads!$H$2:'Downloads'!$H$501,Downloads!K$2:K$501)</f>
        <v>54.87</v>
      </c>
      <c r="AJ15" s="299">
        <f>(AG15-Z15)/Z15</f>
        <v>-2.09058684521472E-3</v>
      </c>
      <c r="AK15" s="361">
        <f t="shared" si="0"/>
        <v>-0.84285983724328284</v>
      </c>
      <c r="AL15" s="317"/>
      <c r="AM15" s="515"/>
      <c r="AN15" s="656">
        <f>2*AG15</f>
        <v>25336.92</v>
      </c>
      <c r="AQ15" s="656">
        <f>(AN15-AG15)/AG15</f>
        <v>1</v>
      </c>
    </row>
    <row r="16" spans="1:47" x14ac:dyDescent="0.35">
      <c r="A16" s="309" t="s">
        <v>29</v>
      </c>
      <c r="B16" s="317" t="s">
        <v>135</v>
      </c>
      <c r="C16" s="317" t="s">
        <v>630</v>
      </c>
      <c r="D16" s="317" t="s">
        <v>623</v>
      </c>
      <c r="E16" s="317" t="s">
        <v>631</v>
      </c>
      <c r="F16" s="555">
        <v>1</v>
      </c>
      <c r="G16" s="309">
        <v>99</v>
      </c>
      <c r="H16" s="556">
        <v>0</v>
      </c>
      <c r="I16" s="551">
        <v>0.92</v>
      </c>
      <c r="J16" s="552">
        <v>7.0000000000000007E-2</v>
      </c>
      <c r="K16" s="553">
        <v>0.01</v>
      </c>
      <c r="L16" s="299" t="s">
        <v>534</v>
      </c>
      <c r="M16" s="555" t="s">
        <v>620</v>
      </c>
      <c r="N16" s="547">
        <v>4.19E-2</v>
      </c>
      <c r="O16" s="555">
        <v>78.67</v>
      </c>
      <c r="P16" s="309">
        <v>78.56</v>
      </c>
      <c r="Q16" s="309">
        <v>79.349999999999994</v>
      </c>
      <c r="R16" s="309">
        <v>79.77</v>
      </c>
      <c r="S16" s="299">
        <f t="shared" ref="S16:S31" si="1">(R16-Q16)/Q16</f>
        <v>5.2930056710775268E-3</v>
      </c>
      <c r="T16" s="299">
        <f t="shared" ref="T16:T31" si="2">(R16-P16)/P16</f>
        <v>1.5402240325865501E-2</v>
      </c>
      <c r="U16" s="299">
        <f t="shared" ref="U16:U31" si="3">(R16-O16)/O16</f>
        <v>1.3982458370407961E-2</v>
      </c>
      <c r="V16" s="338">
        <v>5.7000000000000002E-2</v>
      </c>
      <c r="W16" s="555" t="s">
        <v>505</v>
      </c>
      <c r="X16" s="309" t="s">
        <v>505</v>
      </c>
      <c r="Y16" s="309" t="s">
        <v>505</v>
      </c>
      <c r="Z16" s="321">
        <f>_xlfn.XLOOKUP($B16,Downloads!A$2:A$501,Downloads!B$2:B$501)</f>
        <v>13913</v>
      </c>
      <c r="AA16" s="302"/>
      <c r="AB16" s="302"/>
      <c r="AC16" s="302"/>
      <c r="AD16" s="302"/>
      <c r="AE16" s="309" t="s">
        <v>510</v>
      </c>
      <c r="AG16" s="321" cm="1">
        <f t="array" ref="AG16">_xlfn.XLOOKUP($A16&amp;$B16,Downloads!$G$2:'Downloads'!$G$501&amp;Downloads!$H$2:'Downloads'!$H$501,Downloads!I$2:I$501)</f>
        <v>13926.48</v>
      </c>
      <c r="AH16" s="512" cm="1">
        <f t="array" ref="AH16">_xlfn.XLOOKUP($A16&amp;$B16,Downloads!$G$2:'Downloads'!$G$501&amp;Downloads!$H$2:'Downloads'!$H$501,Downloads!J$2:J$501)</f>
        <v>175</v>
      </c>
      <c r="AI16" s="512" cm="1">
        <f t="array" ref="AI16">_xlfn.XLOOKUP($A16&amp;$B16,Downloads!$G$2:'Downloads'!$G$501&amp;Downloads!$H$2:'Downloads'!$H$501,Downloads!K$2:K$501)</f>
        <v>82.8</v>
      </c>
      <c r="AJ16" s="299">
        <f>(AG16-Z16)/Z16</f>
        <v>9.6887802774380536E-4</v>
      </c>
      <c r="AK16" s="361">
        <f t="shared" si="0"/>
        <v>0.39062159921362294</v>
      </c>
      <c r="AL16" s="317"/>
      <c r="AM16" s="515"/>
    </row>
    <row r="17" spans="1:43" x14ac:dyDescent="0.35">
      <c r="A17" s="309" t="s">
        <v>29</v>
      </c>
      <c r="B17" s="317" t="s">
        <v>131</v>
      </c>
      <c r="C17" s="317" t="s">
        <v>632</v>
      </c>
      <c r="D17" s="317" t="s">
        <v>623</v>
      </c>
      <c r="E17" s="317" t="s">
        <v>633</v>
      </c>
      <c r="F17" s="555">
        <v>0</v>
      </c>
      <c r="G17" s="309">
        <v>100</v>
      </c>
      <c r="H17" s="556">
        <v>0</v>
      </c>
      <c r="I17" s="551">
        <v>0.86</v>
      </c>
      <c r="J17" s="552">
        <v>0</v>
      </c>
      <c r="K17" s="553">
        <v>0</v>
      </c>
      <c r="L17" s="299" t="s">
        <v>501</v>
      </c>
      <c r="M17" s="555" t="s">
        <v>620</v>
      </c>
      <c r="N17" s="547">
        <v>3.0099999999999998E-2</v>
      </c>
      <c r="O17" s="555">
        <v>100.04</v>
      </c>
      <c r="P17" s="309">
        <v>102.04</v>
      </c>
      <c r="Q17" s="309">
        <v>103.06</v>
      </c>
      <c r="R17" s="309">
        <v>103.56</v>
      </c>
      <c r="S17" s="299">
        <f t="shared" si="1"/>
        <v>4.8515427906074132E-3</v>
      </c>
      <c r="T17" s="299">
        <f t="shared" si="2"/>
        <v>1.4896119168953312E-2</v>
      </c>
      <c r="U17" s="299">
        <f t="shared" si="3"/>
        <v>3.5185925629748059E-2</v>
      </c>
      <c r="V17" s="338">
        <v>5.9499999999999997E-2</v>
      </c>
      <c r="W17" s="555" t="s">
        <v>505</v>
      </c>
      <c r="X17" s="309" t="s">
        <v>505</v>
      </c>
      <c r="Y17" s="309" t="s">
        <v>505</v>
      </c>
      <c r="Z17" s="321">
        <f>_xlfn.XLOOKUP($B17,Downloads!A$2:A$501,Downloads!B$2:B$501)</f>
        <v>15474</v>
      </c>
      <c r="AA17" s="302"/>
      <c r="AB17" s="302"/>
      <c r="AC17" s="302"/>
      <c r="AD17" s="302"/>
      <c r="AE17" s="309" t="s">
        <v>510</v>
      </c>
      <c r="AG17" s="321" cm="1">
        <f t="array" ref="AG17">_xlfn.XLOOKUP($A17&amp;$B17,Downloads!$G$2:'Downloads'!$G$501&amp;Downloads!$H$2:'Downloads'!$H$501,Downloads!I$2:I$501)</f>
        <v>15516.07</v>
      </c>
      <c r="AH17" s="512" cm="1">
        <f t="array" ref="AH17">_xlfn.XLOOKUP($A17&amp;$B17,Downloads!$G$2:'Downloads'!$G$501&amp;Downloads!$H$2:'Downloads'!$H$501,Downloads!J$2:J$501)</f>
        <v>150</v>
      </c>
      <c r="AI17" s="512" cm="1">
        <f t="array" ref="AI17">_xlfn.XLOOKUP($A17&amp;$B17,Downloads!$G$2:'Downloads'!$G$501&amp;Downloads!$H$2:'Downloads'!$H$501,Downloads!K$2:K$501)</f>
        <v>106.59</v>
      </c>
      <c r="AJ17" s="299">
        <f>(AG17-Z17)/Z17</f>
        <v>2.718754039033198E-3</v>
      </c>
      <c r="AK17" s="361">
        <f t="shared" si="0"/>
        <v>1.0961173854553175</v>
      </c>
      <c r="AL17" s="317"/>
      <c r="AM17" s="515"/>
      <c r="AN17" s="561">
        <f>2*15516</f>
        <v>31032</v>
      </c>
      <c r="AQ17" s="382">
        <f ca="1">(AN17-OFFSET(Y17,0,MATCH(AQ8,$Y6:AN6)-1))/OFFSET(Y17,0,MATCH(AQ8,$Y6:AN6)-1)</f>
        <v>1.0054284606436603</v>
      </c>
    </row>
    <row r="18" spans="1:43" x14ac:dyDescent="0.35">
      <c r="A18" s="309" t="s">
        <v>29</v>
      </c>
      <c r="B18" s="408" t="s">
        <v>125</v>
      </c>
      <c r="C18" s="317" t="s">
        <v>634</v>
      </c>
      <c r="D18" s="317" t="s">
        <v>623</v>
      </c>
      <c r="E18" s="317" t="s">
        <v>635</v>
      </c>
      <c r="F18" s="555">
        <v>10</v>
      </c>
      <c r="G18" s="309">
        <v>90</v>
      </c>
      <c r="H18" s="556">
        <v>0</v>
      </c>
      <c r="I18" s="551">
        <v>0.76</v>
      </c>
      <c r="J18" s="552">
        <v>0.01</v>
      </c>
      <c r="K18" s="553">
        <v>0</v>
      </c>
      <c r="L18" s="299" t="s">
        <v>534</v>
      </c>
      <c r="M18" s="555" t="s">
        <v>620</v>
      </c>
      <c r="N18" s="547">
        <v>4.82E-2</v>
      </c>
      <c r="O18" s="555">
        <v>50.66</v>
      </c>
      <c r="P18" s="309">
        <v>50.6</v>
      </c>
      <c r="Q18" s="309">
        <v>50.6</v>
      </c>
      <c r="R18" s="309">
        <v>50.6</v>
      </c>
      <c r="S18" s="299">
        <f t="shared" si="1"/>
        <v>0</v>
      </c>
      <c r="T18" s="299">
        <f t="shared" si="2"/>
        <v>0</v>
      </c>
      <c r="U18" s="299">
        <f t="shared" si="3"/>
        <v>-1.1843663639951672E-3</v>
      </c>
      <c r="V18" s="338">
        <v>5.0900000000000001E-2</v>
      </c>
      <c r="W18" s="339" t="s">
        <v>500</v>
      </c>
      <c r="X18" s="340" t="s">
        <v>500</v>
      </c>
      <c r="Y18" s="340" t="s">
        <v>500</v>
      </c>
      <c r="Z18" s="321">
        <f>_xlfn.XLOOKUP($B18,Downloads!A$2:A$501,Downloads!B$2:B$501)</f>
        <v>10133</v>
      </c>
      <c r="AA18" s="302"/>
      <c r="AB18" s="302"/>
      <c r="AC18" s="302"/>
      <c r="AD18" s="302"/>
      <c r="AE18" s="309" t="s">
        <v>627</v>
      </c>
      <c r="AF18" s="317" t="s">
        <v>636</v>
      </c>
      <c r="AG18" s="321" cm="1">
        <f t="array" ref="AG18">_xlfn.XLOOKUP($A18&amp;$B18,Downloads!$G$2:'Downloads'!$G$501&amp;Downloads!$H$2:'Downloads'!$H$501,Downloads!I$2:I$501)</f>
        <v>10110.65</v>
      </c>
      <c r="AH18" s="512" cm="1">
        <f t="array" ref="AH18">_xlfn.XLOOKUP($A18&amp;$B18,Downloads!$G$2:'Downloads'!$G$501&amp;Downloads!$H$2:'Downloads'!$H$501,Downloads!J$2:J$501)</f>
        <v>200</v>
      </c>
      <c r="AI18" s="512" cm="1">
        <f t="array" ref="AI18">_xlfn.XLOOKUP($A18&amp;$B18,Downloads!$G$2:'Downloads'!$G$501&amp;Downloads!$H$2:'Downloads'!$H$501,Downloads!K$2:K$501)</f>
        <v>50.5</v>
      </c>
      <c r="AJ18" s="299">
        <f>(AG18-Z18)/Z18</f>
        <v>-2.2056646600217473E-3</v>
      </c>
      <c r="AK18" s="361">
        <f t="shared" si="0"/>
        <v>-0.88925564638203292</v>
      </c>
      <c r="AL18" s="317"/>
      <c r="AM18" s="515"/>
    </row>
    <row r="19" spans="1:43" x14ac:dyDescent="0.35">
      <c r="A19" s="309" t="s">
        <v>29</v>
      </c>
      <c r="B19" s="408" t="s">
        <v>126</v>
      </c>
      <c r="C19" s="317" t="s">
        <v>637</v>
      </c>
      <c r="D19" s="317" t="s">
        <v>623</v>
      </c>
      <c r="E19" s="317" t="s">
        <v>638</v>
      </c>
      <c r="F19" s="555">
        <v>21</v>
      </c>
      <c r="G19" s="309">
        <v>79</v>
      </c>
      <c r="H19" s="556">
        <v>0</v>
      </c>
      <c r="I19" s="551">
        <v>0.68</v>
      </c>
      <c r="J19" s="552">
        <v>0.09</v>
      </c>
      <c r="K19" s="553">
        <v>0.01</v>
      </c>
      <c r="L19" s="299" t="s">
        <v>534</v>
      </c>
      <c r="M19" s="555" t="s">
        <v>620</v>
      </c>
      <c r="N19" s="547">
        <v>4.6800000000000001E-2</v>
      </c>
      <c r="O19" s="555">
        <v>50.6</v>
      </c>
      <c r="P19" s="309">
        <v>50.55</v>
      </c>
      <c r="Q19" s="309">
        <v>50.6</v>
      </c>
      <c r="R19" s="309">
        <v>50.7</v>
      </c>
      <c r="S19" s="299">
        <f t="shared" si="1"/>
        <v>1.9762845849802652E-3</v>
      </c>
      <c r="T19" s="299">
        <f t="shared" si="2"/>
        <v>2.9673590504452163E-3</v>
      </c>
      <c r="U19" s="299">
        <f t="shared" si="3"/>
        <v>1.9762845849802652E-3</v>
      </c>
      <c r="V19" s="337">
        <v>4.9799999999999997E-2</v>
      </c>
      <c r="W19" s="555" t="s">
        <v>505</v>
      </c>
      <c r="X19" s="309" t="s">
        <v>505</v>
      </c>
      <c r="Y19" s="309" t="s">
        <v>505</v>
      </c>
      <c r="Z19" s="321">
        <f>_xlfn.XLOOKUP($B19,Downloads!A$2:A$501,Downloads!B$2:B$501)</f>
        <v>15192</v>
      </c>
      <c r="AA19" s="302"/>
      <c r="AB19" s="302"/>
      <c r="AC19" s="302"/>
      <c r="AD19" s="302"/>
      <c r="AE19" s="309" t="s">
        <v>627</v>
      </c>
      <c r="AF19" s="317" t="s">
        <v>639</v>
      </c>
      <c r="AG19" s="321" cm="1">
        <f t="array" ref="AG19">_xlfn.XLOOKUP($A19&amp;$B19,Downloads!$G$2:'Downloads'!$G$501&amp;Downloads!$H$2:'Downloads'!$H$501,Downloads!I$2:I$501)</f>
        <v>15165.34</v>
      </c>
      <c r="AH19" s="512" cm="1">
        <f t="array" ref="AH19">_xlfn.XLOOKUP($A19&amp;$B19,Downloads!$G$2:'Downloads'!$G$501&amp;Downloads!$H$2:'Downloads'!$H$501,Downloads!J$2:J$501)</f>
        <v>300</v>
      </c>
      <c r="AI19" s="512" cm="1">
        <f t="array" ref="AI19">_xlfn.XLOOKUP($A19&amp;$B19,Downloads!$G$2:'Downloads'!$G$501&amp;Downloads!$H$2:'Downloads'!$H$501,Downloads!K$2:K$501)</f>
        <v>50.75</v>
      </c>
      <c r="AJ19" s="299">
        <f>(AG19-Z19)/Z19</f>
        <v>-1.754870984728795E-3</v>
      </c>
      <c r="AK19" s="361">
        <f t="shared" si="0"/>
        <v>-0.70750960475863667</v>
      </c>
      <c r="AL19" s="317"/>
      <c r="AM19" s="515"/>
    </row>
    <row r="20" spans="1:43" x14ac:dyDescent="0.35">
      <c r="A20" s="309" t="s">
        <v>29</v>
      </c>
      <c r="B20" s="408" t="s">
        <v>124</v>
      </c>
      <c r="C20" s="317" t="s">
        <v>640</v>
      </c>
      <c r="D20" s="317" t="s">
        <v>641</v>
      </c>
      <c r="E20" s="317" t="s">
        <v>642</v>
      </c>
      <c r="F20" s="555">
        <v>0</v>
      </c>
      <c r="G20" s="309">
        <v>100</v>
      </c>
      <c r="H20" s="556">
        <v>0</v>
      </c>
      <c r="I20" s="551">
        <v>0</v>
      </c>
      <c r="J20" s="552">
        <v>1</v>
      </c>
      <c r="K20" s="553">
        <v>0</v>
      </c>
      <c r="L20" s="299" t="s">
        <v>501</v>
      </c>
      <c r="M20" s="555" t="s">
        <v>620</v>
      </c>
      <c r="N20" s="547">
        <v>3.1199999999999999E-2</v>
      </c>
      <c r="O20" s="555">
        <v>9.8699999999999992</v>
      </c>
      <c r="P20" s="309">
        <v>9.6999999999999993</v>
      </c>
      <c r="Q20" s="309">
        <v>9.7200000000000006</v>
      </c>
      <c r="R20" s="309">
        <v>9.82</v>
      </c>
      <c r="S20" s="299">
        <f t="shared" si="1"/>
        <v>1.0288065843621363E-2</v>
      </c>
      <c r="T20" s="299">
        <f t="shared" si="2"/>
        <v>1.237113402061866E-2</v>
      </c>
      <c r="U20" s="299">
        <f t="shared" si="3"/>
        <v>-5.0658561296858095E-3</v>
      </c>
      <c r="V20" s="341">
        <v>3.2899999999999999E-2</v>
      </c>
      <c r="W20" s="339" t="s">
        <v>500</v>
      </c>
      <c r="X20" s="340" t="s">
        <v>500</v>
      </c>
      <c r="Y20" s="340" t="s">
        <v>500</v>
      </c>
      <c r="Z20" s="321">
        <f>_xlfn.XLOOKUP($B20,Downloads!A$2:A$501,Downloads!B$2:B$501)</f>
        <v>80747</v>
      </c>
      <c r="AA20" s="302"/>
      <c r="AB20" s="302"/>
      <c r="AC20" s="302"/>
      <c r="AD20" s="302"/>
      <c r="AE20" s="309" t="s">
        <v>627</v>
      </c>
      <c r="AF20" s="317" t="s">
        <v>643</v>
      </c>
      <c r="AG20" s="321" cm="1">
        <f t="array" ref="AG20">_xlfn.XLOOKUP($A20&amp;$B20,Downloads!$G$2:'Downloads'!$G$501&amp;Downloads!$H$2:'Downloads'!$H$501,Downloads!I$2:I$501)</f>
        <v>81639.25</v>
      </c>
      <c r="AH20" s="512" cm="1">
        <f t="array" ref="AH20">_xlfn.XLOOKUP($A20&amp;$B20,Downloads!$G$2:'Downloads'!$G$501&amp;Downloads!$H$2:'Downloads'!$H$501,Downloads!J$2:J$501)</f>
        <v>8288.2489999999998</v>
      </c>
      <c r="AI20" s="512" cm="1">
        <f t="array" ref="AI20">_xlfn.XLOOKUP($A20&amp;$B20,Downloads!$G$2:'Downloads'!$G$501&amp;Downloads!$H$2:'Downloads'!$H$501,Downloads!K$2:K$501)</f>
        <v>9.65</v>
      </c>
      <c r="AJ20" s="299">
        <f>(AG20-Z20)/Z20</f>
        <v>1.1049946128029524E-2</v>
      </c>
      <c r="AK20" s="361">
        <f t="shared" si="0"/>
        <v>4.4549958861247081</v>
      </c>
      <c r="AL20" s="317"/>
      <c r="AM20" s="515"/>
    </row>
    <row r="21" spans="1:43" x14ac:dyDescent="0.35">
      <c r="A21" s="309" t="s">
        <v>8</v>
      </c>
      <c r="B21" s="317" t="s">
        <v>138</v>
      </c>
      <c r="C21" s="317" t="s">
        <v>644</v>
      </c>
      <c r="D21" s="317" t="s">
        <v>641</v>
      </c>
      <c r="E21" s="317" t="s">
        <v>645</v>
      </c>
      <c r="F21" s="555">
        <v>0</v>
      </c>
      <c r="G21" s="309">
        <v>100</v>
      </c>
      <c r="H21" s="309">
        <v>0</v>
      </c>
      <c r="I21" s="551">
        <v>0</v>
      </c>
      <c r="J21" s="552">
        <v>0.92</v>
      </c>
      <c r="K21" s="553">
        <v>0.08</v>
      </c>
      <c r="L21" s="309"/>
      <c r="M21" s="555" t="s">
        <v>620</v>
      </c>
      <c r="N21" s="547">
        <v>4.4499999999999998E-2</v>
      </c>
      <c r="O21" s="555">
        <v>53.05</v>
      </c>
      <c r="P21" s="309">
        <v>52.22</v>
      </c>
      <c r="Q21" s="309">
        <v>53.09</v>
      </c>
      <c r="R21" s="309">
        <v>53.64</v>
      </c>
      <c r="S21" s="299">
        <f>(R21-Q21)/Q21</f>
        <v>1.0359766434356699E-2</v>
      </c>
      <c r="T21" s="299">
        <f>(R21-P21)/P21</f>
        <v>2.719264649559559E-2</v>
      </c>
      <c r="U21" s="299">
        <f>(R21-O21)/O21</f>
        <v>1.1121583411875654E-2</v>
      </c>
      <c r="V21" s="338">
        <v>6.0999999999999999E-2</v>
      </c>
      <c r="W21" s="555" t="s">
        <v>505</v>
      </c>
      <c r="X21" s="309" t="s">
        <v>505</v>
      </c>
      <c r="Y21" s="555" t="s">
        <v>505</v>
      </c>
      <c r="Z21" s="321">
        <f>_xlfn.XLOOKUP($B21,Downloads!A$2:A$501,Downloads!B$2:B$501)</f>
        <v>13121</v>
      </c>
      <c r="AA21" s="302"/>
      <c r="AB21" s="302"/>
      <c r="AC21" s="302"/>
      <c r="AD21" s="302"/>
      <c r="AE21" s="309" t="s">
        <v>510</v>
      </c>
      <c r="AG21" s="321" cm="1">
        <f t="array" ref="AG21">_xlfn.XLOOKUP($A21&amp;$B21,Downloads!$G$2:'Downloads'!$G$501&amp;Downloads!$H$2:'Downloads'!$H$501,Downloads!I$2:I$501)</f>
        <v>13093.22</v>
      </c>
      <c r="AH21" s="512" cm="1">
        <f t="array" ref="AH21">_xlfn.XLOOKUP($A21&amp;$B21,Downloads!$G$2:'Downloads'!$G$501&amp;Downloads!$H$2:'Downloads'!$H$501,Downloads!J$2:J$501)</f>
        <v>245</v>
      </c>
      <c r="AI21" s="512" cm="1">
        <f t="array" ref="AI21">_xlfn.XLOOKUP($A21&amp;$B21,Downloads!$G$2:'Downloads'!$G$501&amp;Downloads!$H$2:'Downloads'!$H$501,Downloads!K$2:K$501)</f>
        <v>59.88</v>
      </c>
      <c r="AJ21" s="299">
        <f>(AG21-Z21)/Z21</f>
        <v>-2.1172166755583153E-3</v>
      </c>
      <c r="AK21" s="361">
        <f t="shared" si="0"/>
        <v>-0.85359615968814817</v>
      </c>
      <c r="AL21" s="317"/>
      <c r="AM21" s="515"/>
    </row>
    <row r="22" spans="1:43" x14ac:dyDescent="0.35">
      <c r="A22" s="309" t="s">
        <v>29</v>
      </c>
      <c r="B22" s="408" t="s">
        <v>120</v>
      </c>
      <c r="C22" s="317" t="s">
        <v>646</v>
      </c>
      <c r="D22" s="317" t="s">
        <v>641</v>
      </c>
      <c r="E22" s="317" t="s">
        <v>647</v>
      </c>
      <c r="F22" s="555">
        <v>60</v>
      </c>
      <c r="G22" s="309">
        <v>40</v>
      </c>
      <c r="H22" s="556">
        <v>0</v>
      </c>
      <c r="I22" s="551">
        <v>0.01</v>
      </c>
      <c r="J22" s="552">
        <v>0.96</v>
      </c>
      <c r="K22" s="553">
        <v>0.03</v>
      </c>
      <c r="L22" s="299" t="s">
        <v>501</v>
      </c>
      <c r="M22" s="555" t="s">
        <v>620</v>
      </c>
      <c r="N22" s="547">
        <v>3.9E-2</v>
      </c>
      <c r="O22" s="555">
        <v>77.58</v>
      </c>
      <c r="P22" s="309">
        <v>73.430000000000007</v>
      </c>
      <c r="Q22" s="309">
        <v>76.61</v>
      </c>
      <c r="R22" s="309">
        <v>77.59</v>
      </c>
      <c r="S22" s="299">
        <f t="shared" si="1"/>
        <v>1.2792063699256024E-2</v>
      </c>
      <c r="T22" s="299">
        <f t="shared" si="2"/>
        <v>5.6652594307503697E-2</v>
      </c>
      <c r="U22" s="299">
        <f t="shared" si="3"/>
        <v>1.2889920082502084E-4</v>
      </c>
      <c r="V22" s="337">
        <v>4.36E-2</v>
      </c>
      <c r="W22" s="555" t="s">
        <v>504</v>
      </c>
      <c r="X22" s="309" t="s">
        <v>505</v>
      </c>
      <c r="Y22" s="309" t="s">
        <v>505</v>
      </c>
      <c r="Z22" s="321">
        <f>_xlfn.XLOOKUP($B22,Downloads!A$2:A$501,Downloads!B$2:B$501)</f>
        <v>11573</v>
      </c>
      <c r="AA22" s="302"/>
      <c r="AB22" s="302"/>
      <c r="AC22" s="302"/>
      <c r="AD22" s="302"/>
      <c r="AE22" s="309" t="s">
        <v>627</v>
      </c>
      <c r="AF22" s="317" t="s">
        <v>648</v>
      </c>
      <c r="AG22" s="321" cm="1">
        <f t="array" ref="AG22">_xlfn.XLOOKUP($A22&amp;$B22,Downloads!$G$2:'Downloads'!$G$501&amp;Downloads!$H$2:'Downloads'!$H$501,Downloads!I$2:I$501)</f>
        <v>11630.09</v>
      </c>
      <c r="AH22" s="512" cm="1">
        <f t="array" ref="AH22">_xlfn.XLOOKUP($A22&amp;$B22,Downloads!$G$2:'Downloads'!$G$501&amp;Downloads!$H$2:'Downloads'!$H$501,Downloads!J$2:J$501)</f>
        <v>150</v>
      </c>
      <c r="AI22" s="512" cm="1">
        <f t="array" ref="AI22">_xlfn.XLOOKUP($A22&amp;$B22,Downloads!$G$2:'Downloads'!$G$501&amp;Downloads!$H$2:'Downloads'!$H$501,Downloads!K$2:K$501)</f>
        <v>72.94</v>
      </c>
      <c r="AJ22" s="299">
        <f>(AG22-Z22)/Z22</f>
        <v>4.9330337855353103E-3</v>
      </c>
      <c r="AK22" s="361">
        <f t="shared" si="0"/>
        <v>1.988846367759892</v>
      </c>
      <c r="AL22" s="317"/>
      <c r="AM22" s="515"/>
    </row>
    <row r="23" spans="1:43" x14ac:dyDescent="0.35">
      <c r="A23" s="309" t="s">
        <v>29</v>
      </c>
      <c r="B23" s="317" t="s">
        <v>132</v>
      </c>
      <c r="C23" s="317" t="s">
        <v>649</v>
      </c>
      <c r="D23" s="317" t="s">
        <v>641</v>
      </c>
      <c r="E23" s="317" t="s">
        <v>650</v>
      </c>
      <c r="F23" s="555">
        <v>0</v>
      </c>
      <c r="G23" s="309">
        <v>100</v>
      </c>
      <c r="H23" s="556">
        <v>0</v>
      </c>
      <c r="I23" s="551">
        <v>0.01</v>
      </c>
      <c r="J23" s="552">
        <v>0.92</v>
      </c>
      <c r="K23" s="553">
        <v>7.0000000000000007E-2</v>
      </c>
      <c r="L23" s="299">
        <v>0</v>
      </c>
      <c r="M23" s="555" t="s">
        <v>620</v>
      </c>
      <c r="N23" s="547">
        <v>4.4999999999999998E-2</v>
      </c>
      <c r="O23" s="555">
        <v>83.38</v>
      </c>
      <c r="P23" s="309">
        <v>81.239999999999995</v>
      </c>
      <c r="Q23" s="309">
        <v>82.62</v>
      </c>
      <c r="R23" s="309">
        <v>83.38</v>
      </c>
      <c r="S23" s="299">
        <f t="shared" si="1"/>
        <v>9.1987412248849057E-3</v>
      </c>
      <c r="T23" s="299">
        <f t="shared" si="2"/>
        <v>2.6341703594288536E-2</v>
      </c>
      <c r="U23" s="299">
        <f t="shared" si="3"/>
        <v>0</v>
      </c>
      <c r="V23" s="338">
        <v>5.91E-2</v>
      </c>
      <c r="W23" s="555" t="s">
        <v>505</v>
      </c>
      <c r="X23" s="309" t="s">
        <v>505</v>
      </c>
      <c r="Y23" s="309" t="s">
        <v>505</v>
      </c>
      <c r="Z23" s="321">
        <f>_xlfn.XLOOKUP($B23,Downloads!A$2:A$501,Downloads!B$2:B$501)</f>
        <v>16572</v>
      </c>
      <c r="AA23" s="302"/>
      <c r="AB23" s="302"/>
      <c r="AC23" s="302"/>
      <c r="AD23" s="302"/>
      <c r="AE23" s="309" t="s">
        <v>510</v>
      </c>
      <c r="AG23" s="321" cm="1">
        <f t="array" ref="AG23">_xlfn.XLOOKUP($A23&amp;$B23,Downloads!$G$2:'Downloads'!$G$501&amp;Downloads!$H$2:'Downloads'!$H$501,Downloads!I$2:I$501)</f>
        <v>16618.419999999998</v>
      </c>
      <c r="AH23" s="512" cm="1">
        <f t="array" ref="AH23">_xlfn.XLOOKUP($A23&amp;$B23,Downloads!$G$2:'Downloads'!$G$501&amp;Downloads!$H$2:'Downloads'!$H$501,Downloads!J$2:J$501)</f>
        <v>200</v>
      </c>
      <c r="AI23" s="512" cm="1">
        <f t="array" ref="AI23">_xlfn.XLOOKUP($A23&amp;$B23,Downloads!$G$2:'Downloads'!$G$501&amp;Downloads!$H$2:'Downloads'!$H$501,Downloads!K$2:K$501)</f>
        <v>94.28</v>
      </c>
      <c r="AJ23" s="299">
        <f>(AG23-Z23)/Z23</f>
        <v>2.8011103065410485E-3</v>
      </c>
      <c r="AK23" s="361">
        <f t="shared" si="0"/>
        <v>1.1293208806301385</v>
      </c>
      <c r="AL23" s="317"/>
      <c r="AM23" s="515"/>
    </row>
    <row r="24" spans="1:43" x14ac:dyDescent="0.35">
      <c r="A24" s="309" t="s">
        <v>29</v>
      </c>
      <c r="B24" s="317" t="s">
        <v>130</v>
      </c>
      <c r="C24" s="317" t="s">
        <v>651</v>
      </c>
      <c r="D24" s="317" t="s">
        <v>641</v>
      </c>
      <c r="E24" s="317" t="s">
        <v>652</v>
      </c>
      <c r="F24" s="555">
        <v>0</v>
      </c>
      <c r="G24" s="309">
        <v>100</v>
      </c>
      <c r="H24" s="556">
        <v>0</v>
      </c>
      <c r="I24" s="551">
        <v>0.5</v>
      </c>
      <c r="J24" s="552">
        <v>0.5</v>
      </c>
      <c r="K24" s="553">
        <v>0</v>
      </c>
      <c r="L24" s="299">
        <v>0</v>
      </c>
      <c r="M24" s="555" t="s">
        <v>620</v>
      </c>
      <c r="N24" s="547">
        <v>3.8100000000000002E-2</v>
      </c>
      <c r="O24" s="555">
        <v>25.13</v>
      </c>
      <c r="P24" s="309">
        <v>24.64</v>
      </c>
      <c r="Q24" s="309">
        <v>24.88</v>
      </c>
      <c r="R24" s="309">
        <v>25.05</v>
      </c>
      <c r="S24" s="299">
        <f t="shared" si="1"/>
        <v>6.8327974276528019E-3</v>
      </c>
      <c r="T24" s="299">
        <f t="shared" si="2"/>
        <v>1.6639610389610395E-2</v>
      </c>
      <c r="U24" s="299">
        <f t="shared" si="3"/>
        <v>-3.1834460803819458E-3</v>
      </c>
      <c r="V24" s="341">
        <v>3.7600000000000001E-2</v>
      </c>
      <c r="W24" s="555" t="s">
        <v>505</v>
      </c>
      <c r="X24" s="309" t="s">
        <v>505</v>
      </c>
      <c r="Y24" s="309" t="s">
        <v>505</v>
      </c>
      <c r="Z24" s="321">
        <f>_xlfn.XLOOKUP($B24,Downloads!A$2:A$501,Downloads!B$2:B$501)</f>
        <v>19936</v>
      </c>
      <c r="AA24" s="302"/>
      <c r="AB24" s="302"/>
      <c r="AC24" s="302"/>
      <c r="AD24" s="302"/>
      <c r="AE24" s="309" t="s">
        <v>510</v>
      </c>
      <c r="AG24" s="321" cm="1">
        <f t="array" ref="AG24">_xlfn.XLOOKUP($A24&amp;$B24,Downloads!$G$2:'Downloads'!$G$501&amp;Downloads!$H$2:'Downloads'!$H$501,Downloads!I$2:I$501)</f>
        <v>20048.8</v>
      </c>
      <c r="AH24" s="512" cm="1">
        <f t="array" ref="AH24">_xlfn.XLOOKUP($A24&amp;$B24,Downloads!$G$2:'Downloads'!$G$501&amp;Downloads!$H$2:'Downloads'!$H$501,Downloads!J$2:J$501)</f>
        <v>800</v>
      </c>
      <c r="AI24" s="512" cm="1">
        <f t="array" ref="AI24">_xlfn.XLOOKUP($A24&amp;$B24,Downloads!$G$2:'Downloads'!$G$501&amp;Downloads!$H$2:'Downloads'!$H$501,Downloads!K$2:K$501)</f>
        <v>28.33</v>
      </c>
      <c r="AJ24" s="299">
        <f>(AG24-Z24)/Z24</f>
        <v>5.6581059390047785E-3</v>
      </c>
      <c r="AK24" s="361">
        <f t="shared" si="0"/>
        <v>2.2811729930143163</v>
      </c>
      <c r="AL24" s="317"/>
      <c r="AM24" s="515"/>
    </row>
    <row r="25" spans="1:43" x14ac:dyDescent="0.35">
      <c r="A25" s="309" t="s">
        <v>29</v>
      </c>
      <c r="B25" s="408" t="s">
        <v>134</v>
      </c>
      <c r="C25" s="317" t="s">
        <v>653</v>
      </c>
      <c r="D25" s="317" t="s">
        <v>641</v>
      </c>
      <c r="E25" s="317" t="s">
        <v>654</v>
      </c>
      <c r="F25" s="555">
        <v>50</v>
      </c>
      <c r="G25" s="309">
        <v>40</v>
      </c>
      <c r="H25" s="556">
        <v>2</v>
      </c>
      <c r="I25" s="551">
        <v>0.24</v>
      </c>
      <c r="J25" s="552">
        <v>0.22</v>
      </c>
      <c r="K25" s="553">
        <v>0.51</v>
      </c>
      <c r="L25" s="299" t="s">
        <v>534</v>
      </c>
      <c r="M25" s="555" t="s">
        <v>620</v>
      </c>
      <c r="N25" s="547">
        <v>4.3900000000000002E-2</v>
      </c>
      <c r="O25" s="555">
        <v>78.55</v>
      </c>
      <c r="P25" s="309">
        <v>76.790000000000006</v>
      </c>
      <c r="Q25" s="309">
        <v>77.11</v>
      </c>
      <c r="R25" s="309">
        <v>77.73</v>
      </c>
      <c r="S25" s="299">
        <f t="shared" si="1"/>
        <v>8.0404616781222221E-3</v>
      </c>
      <c r="T25" s="299">
        <f t="shared" si="2"/>
        <v>1.224117723661932E-2</v>
      </c>
      <c r="U25" s="299">
        <f t="shared" si="3"/>
        <v>-1.0439210693825503E-2</v>
      </c>
      <c r="V25" s="341">
        <v>3.9600000000000003E-2</v>
      </c>
      <c r="W25" s="555" t="s">
        <v>505</v>
      </c>
      <c r="X25" s="309" t="s">
        <v>505</v>
      </c>
      <c r="Y25" s="309" t="s">
        <v>505</v>
      </c>
      <c r="Z25" s="321">
        <f>_xlfn.XLOOKUP($B25,Downloads!A$2:A$501,Downloads!B$2:B$501)</f>
        <v>7737</v>
      </c>
      <c r="AA25" s="302"/>
      <c r="AB25" s="302"/>
      <c r="AC25" s="302"/>
      <c r="AD25" s="302"/>
      <c r="AE25" s="309" t="s">
        <v>627</v>
      </c>
      <c r="AF25" s="317" t="s">
        <v>648</v>
      </c>
      <c r="AG25" s="321" cm="1">
        <f t="array" ref="AG25">_xlfn.XLOOKUP($A25&amp;$B25,Downloads!$G$2:'Downloads'!$G$501&amp;Downloads!$H$2:'Downloads'!$H$501,Downloads!I$2:I$501)</f>
        <v>7750.07</v>
      </c>
      <c r="AH25" s="512" cm="1">
        <f t="array" ref="AH25">_xlfn.XLOOKUP($A25&amp;$B25,Downloads!$G$2:'Downloads'!$G$501&amp;Downloads!$H$2:'Downloads'!$H$501,Downloads!J$2:J$501)</f>
        <v>100</v>
      </c>
      <c r="AI25" s="512" cm="1">
        <f t="array" ref="AI25">_xlfn.XLOOKUP($A25&amp;$B25,Downloads!$G$2:'Downloads'!$G$501&amp;Downloads!$H$2:'Downloads'!$H$501,Downloads!K$2:K$501)</f>
        <v>76.22</v>
      </c>
      <c r="AJ25" s="299">
        <f>(AG25-Z25)/Z25</f>
        <v>1.6892852526818804E-3</v>
      </c>
      <c r="AK25" s="361">
        <f t="shared" si="0"/>
        <v>0.68106746983127076</v>
      </c>
      <c r="AL25" s="317"/>
      <c r="AM25" s="515"/>
    </row>
    <row r="26" spans="1:43" x14ac:dyDescent="0.35">
      <c r="A26" s="309" t="s">
        <v>29</v>
      </c>
      <c r="B26" s="408" t="s">
        <v>127</v>
      </c>
      <c r="C26" s="317" t="s">
        <v>655</v>
      </c>
      <c r="D26" s="317" t="s">
        <v>656</v>
      </c>
      <c r="E26" s="317" t="s">
        <v>657</v>
      </c>
      <c r="F26" s="555">
        <v>0</v>
      </c>
      <c r="G26" s="309">
        <v>100</v>
      </c>
      <c r="H26" s="556">
        <v>0</v>
      </c>
      <c r="I26" s="551">
        <v>2.7000000000000001E-3</v>
      </c>
      <c r="J26" s="552">
        <v>0.02</v>
      </c>
      <c r="K26" s="553">
        <v>0.96</v>
      </c>
      <c r="L26" s="299" t="s">
        <v>501</v>
      </c>
      <c r="M26" s="555" t="s">
        <v>620</v>
      </c>
      <c r="N26" s="547">
        <v>4.0899999999999999E-2</v>
      </c>
      <c r="O26" s="555">
        <v>94.08</v>
      </c>
      <c r="P26" s="309">
        <v>92.79</v>
      </c>
      <c r="Q26" s="309">
        <v>93.2</v>
      </c>
      <c r="R26" s="309">
        <v>94.08</v>
      </c>
      <c r="S26" s="299">
        <f t="shared" si="1"/>
        <v>9.4420600858368606E-3</v>
      </c>
      <c r="T26" s="299">
        <f t="shared" si="2"/>
        <v>1.3902360168121478E-2</v>
      </c>
      <c r="U26" s="299">
        <f t="shared" si="3"/>
        <v>0</v>
      </c>
      <c r="V26" s="341">
        <v>3.2300000000000002E-2</v>
      </c>
      <c r="W26" s="555" t="s">
        <v>505</v>
      </c>
      <c r="X26" s="309" t="s">
        <v>505</v>
      </c>
      <c r="Y26" s="309" t="s">
        <v>505</v>
      </c>
      <c r="Z26" s="321">
        <f>_xlfn.XLOOKUP($B26,Downloads!A$2:A$501,Downloads!B$2:B$501)</f>
        <v>18700</v>
      </c>
      <c r="AA26" s="302"/>
      <c r="AB26" s="302"/>
      <c r="AC26" s="302"/>
      <c r="AD26" s="302"/>
      <c r="AE26" s="309" t="s">
        <v>627</v>
      </c>
      <c r="AF26" s="317" t="s">
        <v>658</v>
      </c>
      <c r="AG26" s="321" cm="1">
        <f t="array" ref="AG26">_xlfn.XLOOKUP($A26&amp;$B26,Downloads!$G$2:'Downloads'!$G$501&amp;Downloads!$H$2:'Downloads'!$H$501,Downloads!I$2:I$501)</f>
        <v>18802.330000000002</v>
      </c>
      <c r="AH26" s="512" cm="1">
        <f t="array" ref="AH26">_xlfn.XLOOKUP($A26&amp;$B26,Downloads!$G$2:'Downloads'!$G$501&amp;Downloads!$H$2:'Downloads'!$H$501,Downloads!J$2:J$501)</f>
        <v>200</v>
      </c>
      <c r="AI26" s="512" cm="1">
        <f t="array" ref="AI26">_xlfn.XLOOKUP($A26&amp;$B26,Downloads!$G$2:'Downloads'!$G$501&amp;Downloads!$H$2:'Downloads'!$H$501,Downloads!K$2:K$501)</f>
        <v>108.25</v>
      </c>
      <c r="AJ26" s="299">
        <f>(AG26-Z26)/Z26</f>
        <v>5.4721925133690771E-3</v>
      </c>
      <c r="AK26" s="361">
        <f t="shared" si="0"/>
        <v>2.2062184604956951</v>
      </c>
      <c r="AL26" s="317"/>
      <c r="AM26" s="515"/>
    </row>
    <row r="27" spans="1:43" x14ac:dyDescent="0.35">
      <c r="A27" s="309" t="s">
        <v>29</v>
      </c>
      <c r="B27" s="317" t="s">
        <v>35</v>
      </c>
      <c r="C27" s="317" t="s">
        <v>659</v>
      </c>
      <c r="D27" s="317" t="s">
        <v>656</v>
      </c>
      <c r="E27" s="317" t="s">
        <v>660</v>
      </c>
      <c r="F27" s="649" t="s">
        <v>661</v>
      </c>
      <c r="G27" s="630"/>
      <c r="H27" s="650"/>
      <c r="I27" s="551">
        <v>0</v>
      </c>
      <c r="J27" s="552">
        <v>0.02</v>
      </c>
      <c r="K27" s="553">
        <v>0.97</v>
      </c>
      <c r="L27" s="299" t="s">
        <v>513</v>
      </c>
      <c r="M27" s="555" t="s">
        <v>620</v>
      </c>
      <c r="N27" s="547">
        <v>3.8800000000000001E-2</v>
      </c>
      <c r="O27" s="555">
        <v>9.9700000000000006</v>
      </c>
      <c r="P27" s="309">
        <v>9.64</v>
      </c>
      <c r="Q27" s="309">
        <v>9.17</v>
      </c>
      <c r="R27" s="309">
        <v>9.1999999999999993</v>
      </c>
      <c r="S27" s="299">
        <f t="shared" si="1"/>
        <v>3.271537622682591E-3</v>
      </c>
      <c r="T27" s="299">
        <f t="shared" si="2"/>
        <v>-4.5643153526971084E-2</v>
      </c>
      <c r="U27" s="299">
        <f t="shared" si="3"/>
        <v>-7.7231695085255903E-2</v>
      </c>
      <c r="V27" s="342">
        <v>-2.86E-2</v>
      </c>
      <c r="W27" s="339" t="s">
        <v>500</v>
      </c>
      <c r="X27" s="340" t="s">
        <v>500</v>
      </c>
      <c r="Y27" s="340" t="s">
        <v>500</v>
      </c>
      <c r="Z27" s="321">
        <f>_xlfn.XLOOKUP($B27,Downloads!A$2:A$501,Downloads!B$2:B$501)</f>
        <v>21695</v>
      </c>
      <c r="AA27" s="302"/>
      <c r="AB27" s="302"/>
      <c r="AC27" s="302"/>
      <c r="AD27" s="302"/>
      <c r="AE27" s="309" t="s">
        <v>627</v>
      </c>
      <c r="AF27" s="317" t="s">
        <v>658</v>
      </c>
      <c r="AG27" s="321" cm="1">
        <f t="array" ref="AG27">_xlfn.XLOOKUP($A27&amp;$B27,Downloads!$G$2:'Downloads'!$G$501&amp;Downloads!$H$2:'Downloads'!$H$501,Downloads!I$2:I$501)</f>
        <v>72834.11</v>
      </c>
      <c r="AH27" s="512" cm="1">
        <f t="array" ref="AH27">_xlfn.XLOOKUP($A27&amp;$B27,Downloads!$G$2:'Downloads'!$G$501&amp;Downloads!$H$2:'Downloads'!$H$501,Downloads!J$2:J$501)</f>
        <v>7942.652</v>
      </c>
      <c r="AI27" s="512" cm="1">
        <f t="array" ref="AI27">_xlfn.XLOOKUP($A27&amp;$B27,Downloads!$G$2:'Downloads'!$G$501&amp;Downloads!$H$2:'Downloads'!$H$501,Downloads!K$2:K$501)</f>
        <v>9.7200000000000006</v>
      </c>
      <c r="AJ27" s="299">
        <f>(AG27-Z27)/Z27</f>
        <v>2.3571841438119381</v>
      </c>
      <c r="AK27" s="361">
        <f t="shared" si="0"/>
        <v>950.34360727631929</v>
      </c>
      <c r="AL27" s="317"/>
      <c r="AM27" s="515"/>
    </row>
    <row r="28" spans="1:43" x14ac:dyDescent="0.35">
      <c r="A28" s="309" t="s">
        <v>0</v>
      </c>
      <c r="B28" s="317" t="s">
        <v>35</v>
      </c>
      <c r="C28" s="317" t="str">
        <f>C27</f>
        <v>Fid Long Term Treasury Bond Index Fund</v>
      </c>
      <c r="D28" s="317" t="str">
        <f t="shared" ref="D28:K28" si="4">D27</f>
        <v>Long Term Bond Fund</v>
      </c>
      <c r="E28" s="317" t="str">
        <f t="shared" si="4"/>
        <v>Blmbrg US long tres idx</v>
      </c>
      <c r="F28" s="630" t="str">
        <f t="shared" si="4"/>
        <v>US Govt</v>
      </c>
      <c r="G28" s="630"/>
      <c r="H28" s="630"/>
      <c r="I28" s="551">
        <f t="shared" si="4"/>
        <v>0</v>
      </c>
      <c r="J28" s="552">
        <f t="shared" si="4"/>
        <v>0.02</v>
      </c>
      <c r="K28" s="553">
        <f t="shared" si="4"/>
        <v>0.97</v>
      </c>
      <c r="L28" s="299"/>
      <c r="M28" s="555" t="str">
        <f>M27</f>
        <v>Monthly</v>
      </c>
      <c r="N28" s="556">
        <f>N27</f>
        <v>3.8800000000000001E-2</v>
      </c>
      <c r="O28" s="555">
        <f t="shared" ref="O28:Z28" si="5">O27</f>
        <v>9.9700000000000006</v>
      </c>
      <c r="P28" s="309">
        <f t="shared" si="5"/>
        <v>9.64</v>
      </c>
      <c r="Q28" s="309">
        <f t="shared" si="5"/>
        <v>9.17</v>
      </c>
      <c r="R28" s="309">
        <f t="shared" si="5"/>
        <v>9.1999999999999993</v>
      </c>
      <c r="S28" s="299">
        <f t="shared" si="5"/>
        <v>3.271537622682591E-3</v>
      </c>
      <c r="T28" s="299">
        <f t="shared" si="5"/>
        <v>-4.5643153526971084E-2</v>
      </c>
      <c r="U28" s="299">
        <f t="shared" si="5"/>
        <v>-7.7231695085255903E-2</v>
      </c>
      <c r="V28" s="342">
        <f>V27</f>
        <v>-2.86E-2</v>
      </c>
      <c r="W28" s="555" t="str">
        <f t="shared" si="5"/>
        <v>-</v>
      </c>
      <c r="X28" s="309" t="str">
        <f t="shared" si="5"/>
        <v>-</v>
      </c>
      <c r="Y28" s="309" t="str">
        <f t="shared" si="5"/>
        <v>-</v>
      </c>
      <c r="Z28" s="555">
        <f t="shared" si="5"/>
        <v>21695</v>
      </c>
      <c r="AA28" s="302"/>
      <c r="AB28" s="302"/>
      <c r="AC28" s="302"/>
      <c r="AD28" s="302"/>
      <c r="AE28" s="309" t="s">
        <v>627</v>
      </c>
      <c r="AF28" s="317" t="str">
        <f>AF27</f>
        <v>LT Bonds aren't responding to rate cuts</v>
      </c>
      <c r="AG28" s="321" cm="1">
        <f t="array" ref="AG28">_xlfn.XLOOKUP($A28&amp;$B28,Downloads!$G$2:'Downloads'!$G$501&amp;Downloads!$H$2:'Downloads'!$H$501,Downloads!I$2:I$501)</f>
        <v>21838.63</v>
      </c>
      <c r="AH28" s="512" cm="1">
        <f t="array" ref="AH28">_xlfn.XLOOKUP($A28&amp;$B28,Downloads!$G$2:'Downloads'!$G$501&amp;Downloads!$H$2:'Downloads'!$H$501,Downloads!J$2:J$501)</f>
        <v>2381.5309999999999</v>
      </c>
      <c r="AI28" s="512" cm="1">
        <f t="array" ref="AI28">_xlfn.XLOOKUP($A28&amp;$B28,Downloads!$G$2:'Downloads'!$G$501&amp;Downloads!$H$2:'Downloads'!$H$501,Downloads!K$2:K$501)</f>
        <v>9.69</v>
      </c>
      <c r="AJ28" s="299">
        <f>(AG28-Z28)/Z28</f>
        <v>6.6204194514865649E-3</v>
      </c>
      <c r="AK28" s="361">
        <f t="shared" si="0"/>
        <v>2.6691479830818081</v>
      </c>
      <c r="AL28" s="317"/>
      <c r="AM28" s="515"/>
    </row>
    <row r="29" spans="1:43" x14ac:dyDescent="0.35">
      <c r="A29" s="309" t="s">
        <v>29</v>
      </c>
      <c r="B29" s="408" t="s">
        <v>129</v>
      </c>
      <c r="C29" s="317" t="s">
        <v>662</v>
      </c>
      <c r="D29" s="317" t="s">
        <v>656</v>
      </c>
      <c r="E29" s="317" t="s">
        <v>660</v>
      </c>
      <c r="F29" s="555">
        <v>0</v>
      </c>
      <c r="G29" s="309">
        <v>100</v>
      </c>
      <c r="H29" s="556">
        <v>0</v>
      </c>
      <c r="I29" s="551">
        <v>0</v>
      </c>
      <c r="J29" s="552">
        <v>0</v>
      </c>
      <c r="K29" s="553">
        <v>1</v>
      </c>
      <c r="L29" s="299" t="s">
        <v>534</v>
      </c>
      <c r="M29" s="555" t="s">
        <v>620</v>
      </c>
      <c r="N29" s="547">
        <v>4.5900000000000003E-2</v>
      </c>
      <c r="O29" s="555">
        <v>34.86</v>
      </c>
      <c r="P29" s="309">
        <v>32.22</v>
      </c>
      <c r="Q29" s="309">
        <v>31.28</v>
      </c>
      <c r="R29" s="309">
        <v>31.56</v>
      </c>
      <c r="S29" s="299">
        <f t="shared" si="1"/>
        <v>8.9514066496162899E-3</v>
      </c>
      <c r="T29" s="299">
        <f t="shared" si="2"/>
        <v>-2.0484171322160155E-2</v>
      </c>
      <c r="U29" s="299">
        <f t="shared" si="3"/>
        <v>-9.4664371772805525E-2</v>
      </c>
      <c r="V29" s="342">
        <v>-2.9399999999999999E-2</v>
      </c>
      <c r="W29" s="555" t="s">
        <v>504</v>
      </c>
      <c r="X29" s="309" t="s">
        <v>505</v>
      </c>
      <c r="Y29" s="309" t="s">
        <v>504</v>
      </c>
      <c r="Z29" s="321">
        <f>_xlfn.XLOOKUP($B29,Downloads!A$2:A$501,Downloads!B$2:B$501)</f>
        <v>9399</v>
      </c>
      <c r="AA29" s="302"/>
      <c r="AB29" s="302"/>
      <c r="AC29" s="302"/>
      <c r="AD29" s="302"/>
      <c r="AE29" s="309" t="s">
        <v>627</v>
      </c>
      <c r="AF29" s="317" t="s">
        <v>658</v>
      </c>
      <c r="AG29" s="321" cm="1">
        <f t="array" ref="AG29">_xlfn.XLOOKUP($A29&amp;$B29,Downloads!$G$2:'Downloads'!$G$501&amp;Downloads!$H$2:'Downloads'!$H$501,Downloads!I$2:I$501)</f>
        <v>9406.56</v>
      </c>
      <c r="AH29" s="512" cm="1">
        <f t="array" ref="AH29">_xlfn.XLOOKUP($A29&amp;$B29,Downloads!$G$2:'Downloads'!$G$501&amp;Downloads!$H$2:'Downloads'!$H$501,Downloads!J$2:J$501)</f>
        <v>300</v>
      </c>
      <c r="AI29" s="512" cm="1">
        <f t="array" ref="AI29">_xlfn.XLOOKUP($A29&amp;$B29,Downloads!$G$2:'Downloads'!$G$501&amp;Downloads!$H$2:'Downloads'!$H$501,Downloads!K$2:K$501)</f>
        <v>35.56</v>
      </c>
      <c r="AJ29" s="299">
        <f>(AG29-Z29)/Z29</f>
        <v>8.0434088732838499E-4</v>
      </c>
      <c r="AK29" s="361">
        <f t="shared" si="0"/>
        <v>0.32428532253205189</v>
      </c>
      <c r="AL29" s="317"/>
      <c r="AM29" s="515"/>
    </row>
    <row r="30" spans="1:43" x14ac:dyDescent="0.35">
      <c r="A30" s="309" t="s">
        <v>29</v>
      </c>
      <c r="B30" s="408" t="s">
        <v>133</v>
      </c>
      <c r="C30" s="317" t="s">
        <v>663</v>
      </c>
      <c r="D30" s="317" t="s">
        <v>656</v>
      </c>
      <c r="E30" s="317" t="s">
        <v>664</v>
      </c>
      <c r="F30" s="555">
        <v>2</v>
      </c>
      <c r="G30" s="309">
        <v>98</v>
      </c>
      <c r="H30" s="556">
        <v>0</v>
      </c>
      <c r="I30" s="551">
        <v>0</v>
      </c>
      <c r="J30" s="552">
        <v>0</v>
      </c>
      <c r="K30" s="553">
        <v>1</v>
      </c>
      <c r="L30" s="299" t="s">
        <v>501</v>
      </c>
      <c r="M30" s="555" t="s">
        <v>620</v>
      </c>
      <c r="N30" s="547">
        <v>5.4600000000000003E-2</v>
      </c>
      <c r="O30" s="555">
        <v>80</v>
      </c>
      <c r="P30" s="309">
        <v>76</v>
      </c>
      <c r="Q30" s="309">
        <v>74.95</v>
      </c>
      <c r="R30" s="309">
        <v>76.14</v>
      </c>
      <c r="S30" s="299">
        <f t="shared" si="1"/>
        <v>1.5877251501000635E-2</v>
      </c>
      <c r="T30" s="299">
        <f t="shared" si="2"/>
        <v>1.8421052631579023E-3</v>
      </c>
      <c r="U30" s="299">
        <f t="shared" si="3"/>
        <v>-4.8249999999999994E-2</v>
      </c>
      <c r="V30" s="343">
        <v>1.9199999999999998E-2</v>
      </c>
      <c r="W30" s="555" t="s">
        <v>505</v>
      </c>
      <c r="X30" s="309" t="s">
        <v>505</v>
      </c>
      <c r="Y30" s="309" t="s">
        <v>505</v>
      </c>
      <c r="Z30" s="321">
        <f>_xlfn.XLOOKUP($B30,Downloads!A$2:A$501,Downloads!B$2:B$501)</f>
        <v>9425</v>
      </c>
      <c r="AA30" s="302"/>
      <c r="AB30" s="302"/>
      <c r="AC30" s="302"/>
      <c r="AD30" s="302"/>
      <c r="AE30" s="309" t="s">
        <v>627</v>
      </c>
      <c r="AF30" s="317" t="s">
        <v>658</v>
      </c>
      <c r="AG30" s="321" cm="1">
        <f t="array" ref="AG30">_xlfn.XLOOKUP($A30&amp;$B30,Downloads!$G$2:'Downloads'!$G$501&amp;Downloads!$H$2:'Downloads'!$H$501,Downloads!I$2:I$501)</f>
        <v>9396.92</v>
      </c>
      <c r="AH30" s="512" cm="1">
        <f t="array" ref="AH30">_xlfn.XLOOKUP($A30&amp;$B30,Downloads!$G$2:'Downloads'!$G$501&amp;Downloads!$H$2:'Downloads'!$H$501,Downloads!J$2:J$501)</f>
        <v>125</v>
      </c>
      <c r="AI30" s="512" cm="1">
        <f t="array" ref="AI30">_xlfn.XLOOKUP($A30&amp;$B30,Downloads!$G$2:'Downloads'!$G$501&amp;Downloads!$H$2:'Downloads'!$H$501,Downloads!K$2:K$501)</f>
        <v>86.16</v>
      </c>
      <c r="AJ30" s="299">
        <f>(AG30-Z30)/Z30</f>
        <v>-2.9793103448275786E-3</v>
      </c>
      <c r="AK30" s="361">
        <f t="shared" si="0"/>
        <v>-1.2011656143759422</v>
      </c>
      <c r="AL30" s="317"/>
      <c r="AM30" s="515"/>
    </row>
    <row r="31" spans="1:43" x14ac:dyDescent="0.35">
      <c r="A31" s="309" t="s">
        <v>0</v>
      </c>
      <c r="B31" s="408" t="s">
        <v>53</v>
      </c>
      <c r="C31" s="317" t="s">
        <v>665</v>
      </c>
      <c r="D31" s="317" t="s">
        <v>656</v>
      </c>
      <c r="E31" s="317" t="s">
        <v>666</v>
      </c>
      <c r="F31" s="555">
        <v>12</v>
      </c>
      <c r="G31" s="309">
        <v>99</v>
      </c>
      <c r="H31" s="556">
        <v>0</v>
      </c>
      <c r="I31" s="631" t="s">
        <v>667</v>
      </c>
      <c r="J31" s="632"/>
      <c r="K31" s="633"/>
      <c r="L31" s="299" t="s">
        <v>501</v>
      </c>
      <c r="M31" s="555" t="s">
        <v>620</v>
      </c>
      <c r="N31" s="547">
        <v>4.0000000000000001E-3</v>
      </c>
      <c r="O31" s="555">
        <v>8.02</v>
      </c>
      <c r="P31" s="309">
        <v>7.78</v>
      </c>
      <c r="Q31" s="309">
        <v>7.58</v>
      </c>
      <c r="R31" s="309">
        <v>7.63</v>
      </c>
      <c r="S31" s="299">
        <f t="shared" si="1"/>
        <v>6.5963060686015599E-3</v>
      </c>
      <c r="T31" s="299">
        <f t="shared" si="2"/>
        <v>-1.9280205655527037E-2</v>
      </c>
      <c r="U31" s="299">
        <f t="shared" si="3"/>
        <v>-4.862842892768076E-2</v>
      </c>
      <c r="V31" s="343">
        <v>1.03E-2</v>
      </c>
      <c r="W31" s="339" t="s">
        <v>500</v>
      </c>
      <c r="X31" s="340" t="s">
        <v>500</v>
      </c>
      <c r="Y31" s="340" t="s">
        <v>500</v>
      </c>
      <c r="Z31" s="321">
        <v>30247</v>
      </c>
      <c r="AA31" s="302"/>
      <c r="AB31" s="302"/>
      <c r="AC31" s="302"/>
      <c r="AD31" s="302"/>
      <c r="AE31" s="309" t="s">
        <v>627</v>
      </c>
      <c r="AF31" s="317" t="s">
        <v>658</v>
      </c>
      <c r="AG31" s="321" cm="1">
        <f t="array" ref="AG31">_xlfn.XLOOKUP($A31&amp;$B31,Downloads!$G$2:'Downloads'!$G$501&amp;Downloads!$H$2:'Downloads'!$H$501,Downloads!I$2:I$501)</f>
        <v>30088.23</v>
      </c>
      <c r="AH31" s="512" cm="1">
        <f t="array" ref="AH31">_xlfn.XLOOKUP($A31&amp;$B31,Downloads!$G$2:'Downloads'!$G$501&amp;Downloads!$H$2:'Downloads'!$H$501,Downloads!J$2:J$501)</f>
        <v>3964.194</v>
      </c>
      <c r="AI31" s="512" cm="1">
        <f t="array" ref="AI31">_xlfn.XLOOKUP($A31&amp;$B31,Downloads!$G$2:'Downloads'!$G$501&amp;Downloads!$H$2:'Downloads'!$H$501,Downloads!K$2:K$501)</f>
        <v>7.84</v>
      </c>
      <c r="AJ31" s="299">
        <f>(AG31-Z31)/Z31</f>
        <v>-5.249115614771727E-3</v>
      </c>
      <c r="AK31" s="361">
        <f t="shared" si="0"/>
        <v>-2.1162807672231692</v>
      </c>
      <c r="AL31" s="317"/>
      <c r="AM31" s="515"/>
    </row>
    <row r="32" spans="1:43" x14ac:dyDescent="0.35">
      <c r="A32" s="309" t="s">
        <v>29</v>
      </c>
      <c r="B32" s="408" t="s">
        <v>122</v>
      </c>
      <c r="C32" s="317" t="s">
        <v>668</v>
      </c>
      <c r="D32" s="317" t="s">
        <v>669</v>
      </c>
      <c r="E32" s="317" t="s">
        <v>670</v>
      </c>
      <c r="F32" s="555">
        <v>67</v>
      </c>
      <c r="G32" s="309">
        <v>26</v>
      </c>
      <c r="H32" s="556">
        <v>10</v>
      </c>
      <c r="I32" s="551">
        <v>0.15</v>
      </c>
      <c r="J32" s="552">
        <v>0.39</v>
      </c>
      <c r="K32" s="553">
        <v>0.46</v>
      </c>
      <c r="L32" s="299" t="s">
        <v>534</v>
      </c>
      <c r="M32" s="555" t="s">
        <v>620</v>
      </c>
      <c r="N32" s="547">
        <v>3.7699999999999997E-2</v>
      </c>
      <c r="O32" s="555">
        <v>46.52</v>
      </c>
      <c r="P32" s="309">
        <v>45.41</v>
      </c>
      <c r="Q32" s="309">
        <v>45.64</v>
      </c>
      <c r="R32" s="309">
        <v>45.98</v>
      </c>
      <c r="S32" s="299">
        <f>(R32-Q32)/Q32</f>
        <v>7.4496056091147306E-3</v>
      </c>
      <c r="T32" s="299">
        <f>(R32-P32)/P32</f>
        <v>1.2552301255230132E-2</v>
      </c>
      <c r="U32" s="299">
        <f>(R32-O32)/O32</f>
        <v>-1.1607910576096437E-2</v>
      </c>
      <c r="V32" s="341">
        <v>3.3799999999999997E-2</v>
      </c>
      <c r="W32" s="555" t="s">
        <v>504</v>
      </c>
      <c r="X32" s="309" t="s">
        <v>505</v>
      </c>
      <c r="Y32" s="309" t="s">
        <v>505</v>
      </c>
      <c r="Z32" s="321">
        <f>_xlfn.XLOOKUP($B32,Downloads!A$2:A$501,Downloads!B$2:B$501)</f>
        <v>11433</v>
      </c>
      <c r="AA32" s="302"/>
      <c r="AB32" s="302"/>
      <c r="AC32" s="302"/>
      <c r="AD32" s="302"/>
      <c r="AE32" s="309" t="s">
        <v>627</v>
      </c>
      <c r="AF32" s="317" t="s">
        <v>671</v>
      </c>
      <c r="AG32" s="321" cm="1">
        <f t="array" ref="AG32">_xlfn.XLOOKUP($A32&amp;$B32,Downloads!$G$2:'Downloads'!$G$501&amp;Downloads!$H$2:'Downloads'!$H$501,Downloads!I$2:I$501)</f>
        <v>11516.01</v>
      </c>
      <c r="AH32" s="512" cm="1">
        <f t="array" ref="AH32">_xlfn.XLOOKUP($A32&amp;$B32,Downloads!$G$2:'Downloads'!$G$501&amp;Downloads!$H$2:'Downloads'!$H$501,Downloads!J$2:J$501)</f>
        <v>251.00299999999999</v>
      </c>
      <c r="AI32" s="512" cm="1">
        <f t="array" ref="AI32">_xlfn.XLOOKUP($A32&amp;$B32,Downloads!$G$2:'Downloads'!$G$501&amp;Downloads!$H$2:'Downloads'!$H$501,Downloads!K$2:K$501)</f>
        <v>45.03</v>
      </c>
      <c r="AJ32" s="299">
        <f>(AG32-Z32)/Z32</f>
        <v>7.2605615324062116E-3</v>
      </c>
      <c r="AK32" s="361">
        <f t="shared" si="0"/>
        <v>2.9272334347201943</v>
      </c>
      <c r="AL32" s="317"/>
      <c r="AM32" s="515"/>
    </row>
    <row r="33" spans="1:47" x14ac:dyDescent="0.35">
      <c r="A33" s="309" t="s">
        <v>29</v>
      </c>
      <c r="B33" s="317" t="s">
        <v>121</v>
      </c>
      <c r="C33" s="317" t="s">
        <v>672</v>
      </c>
      <c r="D33" s="317" t="s">
        <v>669</v>
      </c>
      <c r="E33" s="317" t="s">
        <v>673</v>
      </c>
      <c r="F33" s="555">
        <v>72</v>
      </c>
      <c r="G33" s="309">
        <v>28</v>
      </c>
      <c r="H33" s="556">
        <v>0</v>
      </c>
      <c r="I33" s="551">
        <v>0.4</v>
      </c>
      <c r="J33" s="552">
        <v>0.2</v>
      </c>
      <c r="K33" s="553">
        <v>0.4</v>
      </c>
      <c r="L33" s="299" t="s">
        <v>501</v>
      </c>
      <c r="M33" s="555" t="s">
        <v>620</v>
      </c>
      <c r="N33" s="547">
        <v>2.86E-2</v>
      </c>
      <c r="O33" s="555">
        <v>74.23</v>
      </c>
      <c r="P33" s="309">
        <v>72.72</v>
      </c>
      <c r="Q33" s="309">
        <v>72.77</v>
      </c>
      <c r="R33" s="309">
        <v>73.739999999999995</v>
      </c>
      <c r="S33" s="299">
        <f>(R33-Q33)/Q33</f>
        <v>1.3329668819568489E-2</v>
      </c>
      <c r="T33" s="299">
        <f>(R33-P33)/P33</f>
        <v>1.4026402640263972E-2</v>
      </c>
      <c r="U33" s="299">
        <f>(R33-O33)/O33</f>
        <v>-6.6011046746599633E-3</v>
      </c>
      <c r="V33" s="341">
        <v>3.3799999999999997E-2</v>
      </c>
      <c r="W33" s="555" t="s">
        <v>505</v>
      </c>
      <c r="X33" s="309" t="s">
        <v>505</v>
      </c>
      <c r="Y33" s="309" t="s">
        <v>505</v>
      </c>
      <c r="Z33" s="321">
        <f>_xlfn.XLOOKUP($B33,Downloads!A$2:A$501,Downloads!B$2:B$501)</f>
        <v>12840</v>
      </c>
      <c r="AA33" s="302"/>
      <c r="AB33" s="302"/>
      <c r="AC33" s="302"/>
      <c r="AD33" s="302"/>
      <c r="AE33" s="309" t="s">
        <v>510</v>
      </c>
      <c r="AG33" s="321" cm="1">
        <f t="array" ref="AG33">_xlfn.XLOOKUP($A33&amp;$B33,Downloads!$G$2:'Downloads'!$G$501&amp;Downloads!$H$2:'Downloads'!$H$501,Downloads!I$2:I$501)</f>
        <v>12872.51</v>
      </c>
      <c r="AH33" s="512" cm="1">
        <f t="array" ref="AH33">_xlfn.XLOOKUP($A33&amp;$B33,Downloads!$G$2:'Downloads'!$G$501&amp;Downloads!$H$2:'Downloads'!$H$501,Downloads!J$2:J$501)</f>
        <v>175</v>
      </c>
      <c r="AI33" s="512" cm="1">
        <f t="array" ref="AI33">_xlfn.XLOOKUP($A33&amp;$B33,Downloads!$G$2:'Downloads'!$G$501&amp;Downloads!$H$2:'Downloads'!$H$501,Downloads!K$2:K$501)</f>
        <v>80.739999999999995</v>
      </c>
      <c r="AJ33" s="299">
        <f>(AG33-Z33)/Z33</f>
        <v>2.5319314641744717E-3</v>
      </c>
      <c r="AK33" s="361">
        <f t="shared" si="0"/>
        <v>1.0207963121407935</v>
      </c>
      <c r="AL33" s="317"/>
      <c r="AM33" s="515"/>
    </row>
    <row r="34" spans="1:47" x14ac:dyDescent="0.35">
      <c r="A34" s="309" t="s">
        <v>29</v>
      </c>
      <c r="B34" s="317" t="s">
        <v>119</v>
      </c>
      <c r="C34" s="317" t="s">
        <v>674</v>
      </c>
      <c r="D34" s="317" t="s">
        <v>669</v>
      </c>
      <c r="E34" s="317" t="s">
        <v>142</v>
      </c>
      <c r="F34" s="555">
        <v>38</v>
      </c>
      <c r="G34" s="309">
        <v>19</v>
      </c>
      <c r="H34" s="556">
        <v>42</v>
      </c>
      <c r="I34" s="551">
        <v>0.38</v>
      </c>
      <c r="J34" s="552">
        <v>0.19</v>
      </c>
      <c r="K34" s="553">
        <v>0.42</v>
      </c>
      <c r="L34" s="299" t="s">
        <v>501</v>
      </c>
      <c r="M34" s="555" t="s">
        <v>620</v>
      </c>
      <c r="N34" s="547">
        <v>3.85E-2</v>
      </c>
      <c r="O34" s="555">
        <v>100.41</v>
      </c>
      <c r="P34" s="309">
        <v>98.04</v>
      </c>
      <c r="Q34" s="309">
        <v>98.33</v>
      </c>
      <c r="R34" s="309">
        <v>99.4</v>
      </c>
      <c r="S34" s="299">
        <f>(R34-Q34)/Q34</f>
        <v>1.0881724804230728E-2</v>
      </c>
      <c r="T34" s="299">
        <f>(R34-P34)/P34</f>
        <v>1.3871889024887795E-2</v>
      </c>
      <c r="U34" s="299">
        <f>(R34-O34)/O34</f>
        <v>-1.0058759087740175E-2</v>
      </c>
      <c r="V34" s="341">
        <v>3.3799999999999997E-2</v>
      </c>
      <c r="W34" s="555" t="s">
        <v>504</v>
      </c>
      <c r="X34" s="309" t="s">
        <v>505</v>
      </c>
      <c r="Y34" s="309" t="s">
        <v>505</v>
      </c>
      <c r="Z34" s="321">
        <f>_xlfn.XLOOKUP($B34,Downloads!A$2:A$501,Downloads!B$2:B$501)</f>
        <v>16310</v>
      </c>
      <c r="AA34" s="302"/>
      <c r="AB34" s="302"/>
      <c r="AC34" s="302"/>
      <c r="AD34" s="302"/>
      <c r="AE34" s="309" t="s">
        <v>510</v>
      </c>
      <c r="AG34" s="321" cm="1">
        <f t="array" ref="AG34">_xlfn.XLOOKUP($A34&amp;$B34,Downloads!$G$2:'Downloads'!$G$501&amp;Downloads!$H$2:'Downloads'!$H$501,Downloads!I$2:I$501)</f>
        <v>16356.96</v>
      </c>
      <c r="AH34" s="512" cm="1">
        <f t="array" ref="AH34">_xlfn.XLOOKUP($A34&amp;$B34,Downloads!$G$2:'Downloads'!$G$501&amp;Downloads!$H$2:'Downloads'!$H$501,Downloads!J$2:J$501)</f>
        <v>165</v>
      </c>
      <c r="AI34" s="512" cm="1">
        <f t="array" ref="AI34">_xlfn.XLOOKUP($A34&amp;$B34,Downloads!$G$2:'Downloads'!$G$501&amp;Downloads!$H$2:'Downloads'!$H$501,Downloads!K$2:K$501)</f>
        <v>115.51</v>
      </c>
      <c r="AJ34" s="299">
        <f>(AG34-Z34)/Z34</f>
        <v>2.8792152053954095E-3</v>
      </c>
      <c r="AK34" s="361">
        <f t="shared" si="0"/>
        <v>1.1608103556964222</v>
      </c>
      <c r="AL34" s="317"/>
      <c r="AM34" s="515"/>
    </row>
    <row r="35" spans="1:47" ht="11.15" customHeight="1" x14ac:dyDescent="0.35">
      <c r="A35" s="320"/>
      <c r="B35" s="320"/>
      <c r="C35" s="435"/>
      <c r="D35" s="435"/>
      <c r="E35" s="435"/>
      <c r="F35" s="435"/>
      <c r="G35" s="320"/>
      <c r="H35" s="320"/>
      <c r="I35" s="320"/>
      <c r="J35" s="454"/>
      <c r="K35" s="454"/>
      <c r="L35" s="455"/>
      <c r="M35" s="456"/>
      <c r="N35" s="320"/>
      <c r="O35" s="456"/>
      <c r="P35" s="320"/>
      <c r="Q35" s="320"/>
      <c r="R35" s="320"/>
      <c r="S35" s="320"/>
      <c r="T35" s="456"/>
      <c r="U35" s="456"/>
      <c r="V35" s="456"/>
      <c r="W35" s="456"/>
      <c r="X35" s="320"/>
      <c r="Y35" s="320"/>
      <c r="Z35" s="320"/>
      <c r="AA35" s="434"/>
      <c r="AB35" s="434"/>
      <c r="AC35" s="434"/>
      <c r="AD35" s="434"/>
      <c r="AE35" s="434"/>
      <c r="AF35" s="435"/>
      <c r="AG35" s="457"/>
      <c r="AH35" s="457"/>
      <c r="AI35" s="457"/>
      <c r="AJ35" s="434"/>
      <c r="AK35" s="456"/>
      <c r="AL35" s="438"/>
      <c r="AM35" s="457"/>
      <c r="AN35" s="457"/>
      <c r="AO35" s="457"/>
      <c r="AP35" s="457"/>
      <c r="AQ35" s="457"/>
      <c r="AR35" s="457"/>
      <c r="AS35" s="457"/>
      <c r="AT35" s="457"/>
    </row>
    <row r="36" spans="1:47" ht="58" x14ac:dyDescent="0.35">
      <c r="B36" s="309" t="s">
        <v>675</v>
      </c>
      <c r="C36" s="317" t="s">
        <v>142</v>
      </c>
      <c r="D36" s="369" t="s">
        <v>676</v>
      </c>
      <c r="Z36" s="302">
        <v>2290</v>
      </c>
      <c r="AG36" s="302">
        <v>2295.6799999999998</v>
      </c>
      <c r="AJ36" s="299">
        <f>(AG36-Z36)/Z36</f>
        <v>2.4803493449780945E-3</v>
      </c>
      <c r="AK36" s="361">
        <f t="shared" ref="AK36" si="6">(AJ36)/AJ$36</f>
        <v>1</v>
      </c>
      <c r="AL36" s="362"/>
    </row>
    <row r="37" spans="1:47" ht="15" thickBot="1" x14ac:dyDescent="0.4">
      <c r="B37"/>
      <c r="D37" s="369"/>
      <c r="U37"/>
      <c r="V37"/>
      <c r="W37"/>
      <c r="X37"/>
      <c r="Y37"/>
      <c r="Z37"/>
      <c r="AA37"/>
      <c r="AB37"/>
      <c r="AC37"/>
      <c r="AD37"/>
      <c r="AE37"/>
      <c r="AQ37" s="561">
        <f>AN17-AG17</f>
        <v>15515.93</v>
      </c>
    </row>
    <row r="38" spans="1:47" ht="15" thickBot="1" x14ac:dyDescent="0.4">
      <c r="B38"/>
      <c r="D38" s="369"/>
      <c r="U38"/>
      <c r="V38"/>
      <c r="W38"/>
      <c r="X38"/>
      <c r="Y38"/>
      <c r="Z38"/>
      <c r="AA38"/>
      <c r="AB38"/>
      <c r="AC38"/>
      <c r="AD38"/>
      <c r="AE38"/>
      <c r="AF38" s="514"/>
      <c r="AG38" s="536" t="s">
        <v>677</v>
      </c>
      <c r="AH38" s="537"/>
      <c r="AI38" s="537"/>
      <c r="AJ38" s="537"/>
      <c r="AK38" s="537"/>
      <c r="AL38" s="537"/>
      <c r="AM38" s="537"/>
      <c r="AN38" s="538"/>
      <c r="AO38" s="302"/>
      <c r="AP38" s="302"/>
      <c r="AQ38" s="302"/>
      <c r="AR38" s="302"/>
      <c r="AS38" s="302"/>
      <c r="AT38" s="302"/>
    </row>
    <row r="39" spans="1:47" x14ac:dyDescent="0.35">
      <c r="B39"/>
      <c r="D39" s="369"/>
      <c r="R39" s="673">
        <f>ROWS(AN8:AN14)-1</f>
        <v>6</v>
      </c>
      <c r="U39"/>
      <c r="V39"/>
      <c r="W39"/>
      <c r="X39"/>
      <c r="Y39"/>
      <c r="Z39"/>
      <c r="AA39"/>
      <c r="AB39"/>
      <c r="AC39"/>
      <c r="AD39"/>
      <c r="AE39"/>
      <c r="AG39" s="489" t="s">
        <v>143</v>
      </c>
      <c r="AH39" s="490"/>
      <c r="AI39" s="490"/>
      <c r="AJ39" s="490"/>
      <c r="AK39" s="490"/>
      <c r="AL39" s="490"/>
      <c r="AM39" s="490"/>
      <c r="AN39" s="491"/>
    </row>
    <row r="40" spans="1:47" x14ac:dyDescent="0.35">
      <c r="B40"/>
      <c r="D40" s="369"/>
      <c r="AF40" s="514"/>
      <c r="AG40" s="462">
        <f>_xlfn.XLOOKUP("Total Portfolio",Downloads!H$2:H$501,Downloads!I$2:I$501)</f>
        <v>1569306.1500000004</v>
      </c>
      <c r="AH40" s="488"/>
      <c r="AI40" s="488"/>
      <c r="AJ40" s="496" t="s">
        <v>678</v>
      </c>
      <c r="AM40" s="487"/>
      <c r="AN40" s="463"/>
    </row>
    <row r="41" spans="1:47" x14ac:dyDescent="0.35">
      <c r="B41"/>
      <c r="D41" s="369"/>
      <c r="AG41" s="485">
        <f>AG46+AG54</f>
        <v>1569306.1500000001</v>
      </c>
      <c r="AH41" s="495"/>
      <c r="AI41" s="495"/>
      <c r="AJ41" s="496" t="s">
        <v>679</v>
      </c>
      <c r="AM41" s="487"/>
      <c r="AN41" s="463"/>
    </row>
    <row r="42" spans="1:47" ht="14.5" customHeight="1" x14ac:dyDescent="0.35">
      <c r="B42"/>
      <c r="D42" s="369"/>
      <c r="E42" s="317" t="s">
        <v>757</v>
      </c>
      <c r="S42" s="310" t="s">
        <v>754</v>
      </c>
      <c r="AG42" s="619" t="str">
        <f>IF(AG40&lt;&gt;AG41,"Totals not equal. Check to see if something has been left out of Con or Agg Portolios","Cons &amp; Agg portfolios contain all investments.")</f>
        <v>Cons &amp; Agg portfolios contain all investments.</v>
      </c>
      <c r="AH42" s="620"/>
      <c r="AI42" s="620"/>
      <c r="AJ42" s="620"/>
      <c r="AK42" s="620"/>
      <c r="AL42" s="620"/>
      <c r="AM42" s="620"/>
      <c r="AN42" s="621"/>
    </row>
    <row r="43" spans="1:47" ht="15" thickBot="1" x14ac:dyDescent="0.4">
      <c r="B43"/>
      <c r="D43" s="369"/>
      <c r="AG43" s="533"/>
      <c r="AH43" s="534"/>
      <c r="AI43" s="534"/>
      <c r="AJ43" s="534"/>
      <c r="AK43" s="534"/>
      <c r="AL43" s="534"/>
      <c r="AM43" s="534"/>
      <c r="AN43" s="535"/>
    </row>
    <row r="44" spans="1:47" customFormat="1" ht="15" thickBot="1" x14ac:dyDescent="0.4">
      <c r="E44" t="s">
        <v>758</v>
      </c>
      <c r="F44" s="317"/>
      <c r="G44" s="310"/>
      <c r="H44" s="310"/>
      <c r="I44" s="310"/>
      <c r="J44" s="310"/>
      <c r="K44" s="310"/>
      <c r="L44" s="310"/>
      <c r="M44" s="310"/>
      <c r="N44" s="310"/>
      <c r="O44" s="310"/>
      <c r="P44" s="310"/>
      <c r="Q44" s="310"/>
      <c r="R44" s="310"/>
      <c r="S44" s="310"/>
      <c r="T44" s="310"/>
      <c r="U44" s="310"/>
      <c r="V44" s="310"/>
      <c r="W44" s="310"/>
      <c r="X44" s="310"/>
      <c r="Y44" s="310"/>
      <c r="Z44" s="310"/>
      <c r="AA44" s="310"/>
      <c r="AB44" s="310"/>
      <c r="AC44" s="310"/>
      <c r="AD44" s="310"/>
      <c r="AE44" s="310"/>
      <c r="AF44" s="297"/>
      <c r="AG44" s="464"/>
      <c r="AH44" s="351"/>
      <c r="AI44" s="351"/>
      <c r="AJ44" s="486"/>
      <c r="AK44" s="486"/>
      <c r="AL44" s="486"/>
      <c r="AM44" s="487"/>
      <c r="AN44" s="463"/>
      <c r="AU44" s="310"/>
    </row>
    <row r="45" spans="1:47" customFormat="1" x14ac:dyDescent="0.35">
      <c r="F45" s="317"/>
      <c r="G45" s="310"/>
      <c r="H45" s="310"/>
      <c r="I45" s="310"/>
      <c r="J45" s="310"/>
      <c r="K45" s="310"/>
      <c r="L45" s="310"/>
      <c r="M45" s="310"/>
      <c r="N45" s="310"/>
      <c r="O45" s="310"/>
      <c r="P45" s="310"/>
      <c r="Q45" s="310"/>
      <c r="R45" s="310"/>
      <c r="S45" s="310"/>
      <c r="T45" s="310"/>
      <c r="U45" s="310">
        <f>MATCH(AQ8,$Z6:AN6)</f>
        <v>1</v>
      </c>
      <c r="V45" s="310"/>
      <c r="W45" s="310"/>
      <c r="X45" s="310"/>
      <c r="Y45" s="310"/>
      <c r="Z45" s="310"/>
      <c r="AA45" s="310"/>
      <c r="AB45" s="310"/>
      <c r="AC45" s="310"/>
      <c r="AD45" s="310"/>
      <c r="AE45" s="310"/>
      <c r="AF45" s="297"/>
      <c r="AG45" s="489" t="s">
        <v>680</v>
      </c>
      <c r="AH45" s="490"/>
      <c r="AI45" s="490"/>
      <c r="AJ45" s="490"/>
      <c r="AK45" s="490"/>
      <c r="AL45" s="490"/>
      <c r="AM45" s="490"/>
      <c r="AN45" s="491"/>
      <c r="AU45" s="309"/>
    </row>
    <row r="46" spans="1:47" x14ac:dyDescent="0.35">
      <c r="B46"/>
      <c r="AG46" s="462">
        <f>SUBTOTAL(109,AG9:AG34)</f>
        <v>853681.9800000001</v>
      </c>
      <c r="AH46" s="488"/>
      <c r="AI46" s="488"/>
      <c r="AJ46" s="486"/>
      <c r="AK46" s="465" t="s">
        <v>681</v>
      </c>
      <c r="AL46" s="465"/>
      <c r="AM46" s="351"/>
      <c r="AN46" s="466"/>
      <c r="AU46" s="32"/>
    </row>
    <row r="47" spans="1:47" x14ac:dyDescent="0.35">
      <c r="B47"/>
      <c r="S47" s="310">
        <f>MATCH(AQ8,$Z6:AN6)</f>
        <v>1</v>
      </c>
      <c r="AG47" s="464"/>
      <c r="AH47" s="351"/>
      <c r="AI47" s="351"/>
      <c r="AJ47" s="504">
        <f>AG46/AG40</f>
        <v>0.54398689510010512</v>
      </c>
      <c r="AK47" s="351" t="s">
        <v>682</v>
      </c>
      <c r="AL47" s="351"/>
      <c r="AM47" s="351"/>
      <c r="AN47" s="466"/>
      <c r="AU47" s="461"/>
    </row>
    <row r="48" spans="1:47" x14ac:dyDescent="0.35">
      <c r="B48"/>
      <c r="AG48" s="462">
        <f>AJ48*AG40</f>
        <v>784653.07500000019</v>
      </c>
      <c r="AH48" s="488"/>
      <c r="AI48" s="488"/>
      <c r="AJ48" s="504">
        <v>0.5</v>
      </c>
      <c r="AK48" s="465" t="s">
        <v>683</v>
      </c>
      <c r="AL48" s="465"/>
      <c r="AM48" s="351"/>
      <c r="AN48" s="466"/>
    </row>
    <row r="49" spans="2:40" x14ac:dyDescent="0.35">
      <c r="B49"/>
      <c r="S49" s="310" t="s">
        <v>755</v>
      </c>
      <c r="AG49" s="462">
        <f>AG46-AG48</f>
        <v>69028.904999999912</v>
      </c>
      <c r="AH49" s="488"/>
      <c r="AI49" s="488"/>
      <c r="AJ49" s="486"/>
      <c r="AK49" s="465" t="s">
        <v>684</v>
      </c>
      <c r="AL49" s="465"/>
      <c r="AM49" s="351"/>
      <c r="AN49" s="466"/>
    </row>
    <row r="50" spans="2:40" ht="15.5" x14ac:dyDescent="0.35">
      <c r="B50"/>
      <c r="AG50" s="622" t="str">
        <f>IF(AND(AJ47&lt;AJ48+0.05,AJ47&gt;AJ48-0.05),"Portfolio is balanced", "Portfolio needs to be re-balanced")</f>
        <v>Portfolio is balanced</v>
      </c>
      <c r="AH50" s="623"/>
      <c r="AI50" s="623"/>
      <c r="AJ50" s="623"/>
      <c r="AK50" s="623"/>
      <c r="AL50" s="623"/>
      <c r="AM50" s="623"/>
      <c r="AN50" s="624"/>
    </row>
    <row r="51" spans="2:40" ht="15" thickBot="1" x14ac:dyDescent="0.4">
      <c r="B51"/>
      <c r="S51" s="310" t="s">
        <v>756</v>
      </c>
      <c r="AG51" s="539"/>
      <c r="AH51" s="540"/>
      <c r="AI51" s="540"/>
      <c r="AJ51" s="540"/>
      <c r="AK51" s="540"/>
      <c r="AL51" s="540"/>
      <c r="AM51" s="540"/>
      <c r="AN51" s="541"/>
    </row>
    <row r="52" spans="2:40" ht="15" thickBot="1" x14ac:dyDescent="0.4">
      <c r="B52"/>
      <c r="AG52" s="505"/>
      <c r="AH52" s="439"/>
      <c r="AI52" s="439"/>
      <c r="AJ52" s="439"/>
      <c r="AK52" s="439"/>
      <c r="AL52" s="439"/>
      <c r="AM52" s="439"/>
      <c r="AN52" s="466"/>
    </row>
    <row r="53" spans="2:40" x14ac:dyDescent="0.35">
      <c r="B53"/>
      <c r="S53" s="677" t="e">
        <f ca="1">AN17-(OFFSET(Y17,0,MATCH(AQ8,$Y6:AN6)))/OFFSET(Y17,0,MATCH(AQ8,$Y6:AN6))</f>
        <v>#DIV/0!</v>
      </c>
      <c r="AG53" s="492" t="s">
        <v>685</v>
      </c>
      <c r="AH53" s="493"/>
      <c r="AI53" s="493"/>
      <c r="AJ53" s="493"/>
      <c r="AK53" s="493"/>
      <c r="AL53" s="493"/>
      <c r="AM53" s="493"/>
      <c r="AN53" s="494"/>
    </row>
    <row r="54" spans="2:40" x14ac:dyDescent="0.35">
      <c r="B54"/>
      <c r="AG54" s="462">
        <f>'Aggressive Portfolio Evals'!AD43</f>
        <v>715624.17</v>
      </c>
      <c r="AH54" s="488"/>
      <c r="AI54" s="488"/>
      <c r="AJ54" s="461"/>
      <c r="AK54" s="465" t="s">
        <v>686</v>
      </c>
      <c r="AL54" s="465"/>
      <c r="AM54" s="439"/>
      <c r="AN54" s="466"/>
    </row>
    <row r="55" spans="2:40" x14ac:dyDescent="0.35">
      <c r="B55"/>
      <c r="AG55" s="464"/>
      <c r="AH55" s="351"/>
      <c r="AI55" s="351"/>
      <c r="AJ55" s="504">
        <f>AG54/AG40</f>
        <v>0.45601310489989472</v>
      </c>
      <c r="AK55" s="351" t="s">
        <v>682</v>
      </c>
      <c r="AL55" s="351"/>
      <c r="AM55" s="439"/>
      <c r="AN55" s="466"/>
    </row>
    <row r="56" spans="2:40" x14ac:dyDescent="0.35">
      <c r="B56"/>
      <c r="AG56" s="462">
        <f>AJ56*AG40</f>
        <v>784653.07500000019</v>
      </c>
      <c r="AH56" s="488"/>
      <c r="AI56" s="488"/>
      <c r="AJ56" s="504">
        <v>0.5</v>
      </c>
      <c r="AK56" s="465" t="s">
        <v>687</v>
      </c>
      <c r="AL56" s="465"/>
      <c r="AM56" s="439"/>
      <c r="AN56" s="466"/>
    </row>
    <row r="57" spans="2:40" x14ac:dyDescent="0.35">
      <c r="B57"/>
      <c r="AG57" s="462">
        <f>AG54-AG56</f>
        <v>-69028.905000000144</v>
      </c>
      <c r="AH57" s="488"/>
      <c r="AI57" s="488"/>
      <c r="AJ57" s="486"/>
      <c r="AK57" s="465" t="s">
        <v>684</v>
      </c>
      <c r="AL57" s="465"/>
      <c r="AM57" s="439"/>
      <c r="AN57" s="466"/>
    </row>
    <row r="58" spans="2:40" ht="15.5" x14ac:dyDescent="0.35">
      <c r="B58"/>
      <c r="AG58" s="622" t="str">
        <f>IF(AND(AJ55&lt;AJ56+0.05,AJ55&gt;AJ56-0.05),"Portfolio is balanced", "Portfolio needs to be re-balanced")</f>
        <v>Portfolio is balanced</v>
      </c>
      <c r="AH58" s="623"/>
      <c r="AI58" s="623"/>
      <c r="AJ58" s="623"/>
      <c r="AK58" s="623"/>
      <c r="AL58" s="623"/>
      <c r="AM58" s="623"/>
      <c r="AN58" s="624"/>
    </row>
    <row r="59" spans="2:40" ht="15" thickBot="1" x14ac:dyDescent="0.4">
      <c r="B59"/>
      <c r="AG59" s="539"/>
      <c r="AH59" s="540"/>
      <c r="AI59" s="540"/>
      <c r="AJ59" s="540"/>
      <c r="AK59" s="540"/>
      <c r="AL59" s="540"/>
      <c r="AM59" s="540"/>
      <c r="AN59" s="541"/>
    </row>
    <row r="60" spans="2:40" ht="15" thickBot="1" x14ac:dyDescent="0.4">
      <c r="B60"/>
      <c r="AM60" s="299"/>
    </row>
    <row r="61" spans="2:40" x14ac:dyDescent="0.35">
      <c r="B61"/>
      <c r="AG61" s="557" t="s">
        <v>688</v>
      </c>
      <c r="AH61" s="558"/>
      <c r="AI61" s="558"/>
      <c r="AJ61" s="558"/>
      <c r="AK61" s="558"/>
      <c r="AL61" s="558"/>
      <c r="AM61" s="558"/>
      <c r="AN61" s="559"/>
    </row>
    <row r="62" spans="2:40" x14ac:dyDescent="0.35">
      <c r="B62"/>
      <c r="AG62" s="450" t="s">
        <v>689</v>
      </c>
      <c r="AH62" s="322"/>
      <c r="AI62" s="322"/>
      <c r="AJ62" s="322"/>
      <c r="AK62" s="322"/>
      <c r="AL62" s="322"/>
      <c r="AM62" s="322"/>
      <c r="AN62" s="560"/>
    </row>
    <row r="63" spans="2:40" x14ac:dyDescent="0.35">
      <c r="B63"/>
      <c r="AG63" s="447" t="s">
        <v>690</v>
      </c>
      <c r="AH63" s="322"/>
      <c r="AI63" s="322"/>
      <c r="AJ63" s="322"/>
      <c r="AK63" s="322"/>
      <c r="AL63" s="322"/>
      <c r="AM63" s="322"/>
      <c r="AN63" s="560"/>
    </row>
    <row r="64" spans="2:40" x14ac:dyDescent="0.35">
      <c r="B64"/>
      <c r="AG64" s="447" t="s">
        <v>691</v>
      </c>
      <c r="AH64" s="322"/>
      <c r="AI64" s="322"/>
      <c r="AJ64" s="322"/>
      <c r="AK64" s="322"/>
      <c r="AL64" s="322"/>
      <c r="AM64" s="322"/>
      <c r="AN64" s="560"/>
    </row>
    <row r="65" spans="2:40" x14ac:dyDescent="0.35">
      <c r="B65"/>
      <c r="AG65" s="447"/>
      <c r="AH65" s="322"/>
      <c r="AI65" s="322"/>
      <c r="AJ65" s="322"/>
      <c r="AK65" s="322"/>
      <c r="AL65" s="322"/>
      <c r="AM65" s="322"/>
      <c r="AN65" s="560"/>
    </row>
    <row r="66" spans="2:40" x14ac:dyDescent="0.35">
      <c r="B66"/>
      <c r="AG66" s="450" t="s">
        <v>692</v>
      </c>
      <c r="AH66" s="322"/>
      <c r="AI66" s="322"/>
      <c r="AJ66" s="322"/>
      <c r="AK66" s="322"/>
      <c r="AL66" s="322"/>
      <c r="AM66" s="322"/>
      <c r="AN66" s="560"/>
    </row>
    <row r="67" spans="2:40" x14ac:dyDescent="0.35">
      <c r="B67"/>
      <c r="AG67" s="447" t="s">
        <v>690</v>
      </c>
      <c r="AH67" s="322"/>
      <c r="AI67" s="322"/>
      <c r="AJ67" s="322"/>
      <c r="AK67" s="322"/>
      <c r="AL67" s="322"/>
      <c r="AM67" s="322"/>
      <c r="AN67" s="560"/>
    </row>
    <row r="68" spans="2:40" x14ac:dyDescent="0.35">
      <c r="B68"/>
      <c r="AG68" s="447" t="s">
        <v>691</v>
      </c>
      <c r="AH68" s="322"/>
      <c r="AI68" s="322"/>
      <c r="AJ68" s="322"/>
      <c r="AK68" s="322"/>
      <c r="AL68" s="322"/>
      <c r="AM68" s="322"/>
      <c r="AN68" s="560"/>
    </row>
    <row r="69" spans="2:40" x14ac:dyDescent="0.35">
      <c r="B69"/>
      <c r="AG69" s="447"/>
      <c r="AJ69" s="561"/>
      <c r="AM69" s="299"/>
      <c r="AN69" s="448"/>
    </row>
    <row r="70" spans="2:40" x14ac:dyDescent="0.35">
      <c r="AG70" s="450" t="s">
        <v>693</v>
      </c>
      <c r="AJ70" s="561"/>
      <c r="AM70" s="299"/>
      <c r="AN70" s="448"/>
    </row>
    <row r="71" spans="2:40" x14ac:dyDescent="0.35">
      <c r="AG71" s="447" t="s">
        <v>694</v>
      </c>
      <c r="AJ71" s="561"/>
      <c r="AM71" s="299"/>
      <c r="AN71" s="448"/>
    </row>
    <row r="72" spans="2:40" x14ac:dyDescent="0.35">
      <c r="AG72" s="447" t="s">
        <v>695</v>
      </c>
      <c r="AJ72" s="561"/>
      <c r="AM72" s="299"/>
      <c r="AN72" s="448"/>
    </row>
    <row r="73" spans="2:40" x14ac:dyDescent="0.35">
      <c r="AG73" s="447" t="s">
        <v>696</v>
      </c>
      <c r="AM73" s="299"/>
      <c r="AN73" s="448"/>
    </row>
    <row r="74" spans="2:40" x14ac:dyDescent="0.35">
      <c r="AG74" s="447"/>
      <c r="AM74" s="299"/>
      <c r="AN74" s="448"/>
    </row>
    <row r="75" spans="2:40" x14ac:dyDescent="0.35">
      <c r="AG75" s="450" t="s">
        <v>697</v>
      </c>
      <c r="AM75" s="299"/>
      <c r="AN75" s="448"/>
    </row>
    <row r="76" spans="2:40" x14ac:dyDescent="0.35">
      <c r="AG76" s="447" t="s">
        <v>698</v>
      </c>
      <c r="AM76" s="299"/>
      <c r="AN76" s="448"/>
    </row>
    <row r="77" spans="2:40" x14ac:dyDescent="0.35">
      <c r="AG77" s="447" t="s">
        <v>699</v>
      </c>
      <c r="AM77" s="299"/>
      <c r="AN77" s="448"/>
    </row>
    <row r="78" spans="2:40" x14ac:dyDescent="0.35">
      <c r="AG78" s="447" t="s">
        <v>700</v>
      </c>
      <c r="AM78" s="299"/>
      <c r="AN78" s="448"/>
    </row>
    <row r="79" spans="2:40" x14ac:dyDescent="0.35">
      <c r="AG79" s="447" t="s">
        <v>701</v>
      </c>
      <c r="AM79" s="299"/>
      <c r="AN79" s="448"/>
    </row>
    <row r="80" spans="2:40" x14ac:dyDescent="0.35">
      <c r="AG80" s="447" t="s">
        <v>702</v>
      </c>
      <c r="AM80" s="299"/>
      <c r="AN80" s="448"/>
    </row>
    <row r="81" spans="6:40" ht="15" thickBot="1" x14ac:dyDescent="0.4">
      <c r="AG81" s="451"/>
      <c r="AH81" s="452"/>
      <c r="AI81" s="452"/>
      <c r="AJ81" s="452"/>
      <c r="AK81" s="562"/>
      <c r="AL81" s="562"/>
      <c r="AM81" s="562"/>
      <c r="AN81" s="453"/>
    </row>
    <row r="82" spans="6:40" ht="15" thickBot="1" x14ac:dyDescent="0.4">
      <c r="AM82" s="299"/>
    </row>
    <row r="83" spans="6:40" x14ac:dyDescent="0.35">
      <c r="AG83" s="563" t="s">
        <v>703</v>
      </c>
      <c r="AH83" s="564"/>
      <c r="AI83" s="564"/>
      <c r="AJ83" s="564"/>
      <c r="AK83" s="565"/>
      <c r="AL83" s="565"/>
      <c r="AM83" s="565"/>
      <c r="AN83" s="566"/>
    </row>
    <row r="84" spans="6:40" x14ac:dyDescent="0.35">
      <c r="AG84" s="450" t="s">
        <v>704</v>
      </c>
      <c r="AN84" s="448"/>
    </row>
    <row r="85" spans="6:40" x14ac:dyDescent="0.35">
      <c r="AG85" s="447" t="s">
        <v>690</v>
      </c>
      <c r="AN85" s="448"/>
    </row>
    <row r="86" spans="6:40" x14ac:dyDescent="0.35">
      <c r="AG86" s="447" t="s">
        <v>691</v>
      </c>
      <c r="AN86" s="448"/>
    </row>
    <row r="87" spans="6:40" x14ac:dyDescent="0.35">
      <c r="AG87" s="447"/>
      <c r="AN87" s="448"/>
    </row>
    <row r="88" spans="6:40" x14ac:dyDescent="0.35">
      <c r="AG88" s="447" t="s">
        <v>705</v>
      </c>
      <c r="AN88" s="448"/>
    </row>
    <row r="89" spans="6:40" x14ac:dyDescent="0.35">
      <c r="AG89" s="447" t="s">
        <v>706</v>
      </c>
      <c r="AN89" s="448"/>
    </row>
    <row r="90" spans="6:40" ht="15" thickBot="1" x14ac:dyDescent="0.4">
      <c r="AG90" s="451"/>
      <c r="AH90" s="452"/>
      <c r="AI90" s="452"/>
      <c r="AJ90" s="452"/>
      <c r="AK90" s="562"/>
      <c r="AL90" s="562"/>
      <c r="AM90" s="452"/>
      <c r="AN90" s="453"/>
    </row>
    <row r="93" spans="6:40" x14ac:dyDescent="0.35">
      <c r="F93"/>
      <c r="G93"/>
      <c r="H93"/>
      <c r="I93"/>
      <c r="J93"/>
      <c r="K93"/>
      <c r="L93"/>
      <c r="M93"/>
      <c r="N93"/>
      <c r="O93"/>
      <c r="P93"/>
      <c r="Q93"/>
      <c r="R93"/>
      <c r="S93"/>
      <c r="T93"/>
      <c r="U93"/>
      <c r="V93"/>
      <c r="W93"/>
      <c r="X93"/>
      <c r="Y93"/>
      <c r="Z93"/>
      <c r="AA93"/>
      <c r="AB93"/>
      <c r="AC93"/>
      <c r="AD93"/>
      <c r="AE93"/>
    </row>
    <row r="94" spans="6:40" x14ac:dyDescent="0.35">
      <c r="F94"/>
      <c r="G94"/>
      <c r="H94"/>
      <c r="I94"/>
      <c r="J94"/>
      <c r="K94"/>
      <c r="L94"/>
      <c r="M94"/>
      <c r="N94"/>
      <c r="O94"/>
      <c r="P94"/>
      <c r="Q94"/>
      <c r="R94"/>
      <c r="S94"/>
      <c r="T94"/>
      <c r="U94"/>
      <c r="V94"/>
      <c r="W94"/>
      <c r="X94"/>
      <c r="Y94"/>
      <c r="Z94"/>
      <c r="AA94"/>
      <c r="AB94"/>
      <c r="AC94"/>
      <c r="AD94"/>
      <c r="AE94"/>
    </row>
    <row r="95" spans="6:40" ht="15" thickBot="1" x14ac:dyDescent="0.4"/>
    <row r="96" spans="6:40" x14ac:dyDescent="0.35">
      <c r="F96" s="443" t="s">
        <v>707</v>
      </c>
      <c r="G96" s="444"/>
      <c r="H96" s="444"/>
      <c r="I96" s="444"/>
      <c r="J96" s="444"/>
      <c r="K96" s="444"/>
      <c r="L96" s="444"/>
      <c r="M96" s="444"/>
      <c r="N96" s="444"/>
      <c r="O96" s="444"/>
      <c r="P96" s="444"/>
      <c r="Q96" s="444"/>
      <c r="R96" s="444"/>
      <c r="S96" s="445" t="s">
        <v>708</v>
      </c>
      <c r="T96" s="444"/>
      <c r="U96" s="444"/>
      <c r="V96" s="444"/>
      <c r="W96" s="444"/>
      <c r="X96" s="444"/>
      <c r="Y96" s="444"/>
      <c r="Z96" s="444"/>
      <c r="AA96" s="444"/>
      <c r="AB96" s="444"/>
      <c r="AC96" s="444"/>
      <c r="AD96" s="444"/>
      <c r="AE96" s="446"/>
    </row>
    <row r="97" spans="6:31" x14ac:dyDescent="0.35">
      <c r="F97" s="447"/>
      <c r="AE97" s="448"/>
    </row>
    <row r="98" spans="6:31" x14ac:dyDescent="0.35">
      <c r="F98" s="447" t="s">
        <v>709</v>
      </c>
      <c r="S98" s="449" t="s">
        <v>710</v>
      </c>
      <c r="T98" s="299"/>
      <c r="AE98" s="448"/>
    </row>
    <row r="99" spans="6:31" x14ac:dyDescent="0.35">
      <c r="F99" s="447" t="s">
        <v>711</v>
      </c>
      <c r="S99" s="310" t="s">
        <v>712</v>
      </c>
      <c r="T99" s="299"/>
      <c r="AE99" s="448"/>
    </row>
    <row r="100" spans="6:31" x14ac:dyDescent="0.35">
      <c r="F100" s="447"/>
      <c r="S100" s="310" t="s">
        <v>713</v>
      </c>
      <c r="T100" s="299"/>
      <c r="AE100" s="448"/>
    </row>
    <row r="101" spans="6:31" x14ac:dyDescent="0.35">
      <c r="F101" s="447"/>
      <c r="S101" s="310" t="s">
        <v>714</v>
      </c>
      <c r="T101" s="299"/>
      <c r="AE101" s="448"/>
    </row>
    <row r="102" spans="6:31" x14ac:dyDescent="0.35">
      <c r="F102" s="450" t="s">
        <v>715</v>
      </c>
      <c r="S102" s="310" t="s">
        <v>716</v>
      </c>
      <c r="T102" s="299"/>
      <c r="AE102" s="448"/>
    </row>
    <row r="103" spans="6:31" x14ac:dyDescent="0.35">
      <c r="F103" s="447" t="s">
        <v>717</v>
      </c>
      <c r="S103" s="310" t="s">
        <v>718</v>
      </c>
      <c r="T103" s="299"/>
      <c r="AE103" s="448"/>
    </row>
    <row r="104" spans="6:31" x14ac:dyDescent="0.35">
      <c r="F104" s="447"/>
      <c r="T104" s="299"/>
      <c r="AE104" s="448"/>
    </row>
    <row r="105" spans="6:31" x14ac:dyDescent="0.35">
      <c r="F105" s="447"/>
      <c r="S105" s="449" t="s">
        <v>719</v>
      </c>
      <c r="T105" s="299"/>
      <c r="AE105" s="448"/>
    </row>
    <row r="106" spans="6:31" x14ac:dyDescent="0.35">
      <c r="F106" s="447"/>
      <c r="S106" s="310" t="s">
        <v>720</v>
      </c>
      <c r="T106" s="299"/>
      <c r="AE106" s="448"/>
    </row>
    <row r="107" spans="6:31" x14ac:dyDescent="0.35">
      <c r="F107" s="447"/>
      <c r="S107" s="310" t="s">
        <v>721</v>
      </c>
      <c r="T107" s="299"/>
      <c r="AE107" s="448"/>
    </row>
    <row r="108" spans="6:31" x14ac:dyDescent="0.35">
      <c r="F108" s="447"/>
      <c r="T108" s="299"/>
      <c r="AE108" s="448"/>
    </row>
    <row r="109" spans="6:31" x14ac:dyDescent="0.35">
      <c r="F109" s="447"/>
      <c r="S109" s="449" t="s">
        <v>722</v>
      </c>
      <c r="T109" s="299"/>
      <c r="AE109" s="448"/>
    </row>
    <row r="110" spans="6:31" x14ac:dyDescent="0.35">
      <c r="F110" s="447"/>
      <c r="S110" s="310" t="s">
        <v>723</v>
      </c>
      <c r="T110" s="299"/>
      <c r="AE110" s="448"/>
    </row>
    <row r="111" spans="6:31" x14ac:dyDescent="0.35">
      <c r="F111" s="447"/>
      <c r="S111" s="310" t="s">
        <v>724</v>
      </c>
      <c r="T111" s="299"/>
      <c r="AE111" s="448"/>
    </row>
    <row r="112" spans="6:31" x14ac:dyDescent="0.35">
      <c r="F112" s="447"/>
      <c r="S112" s="310" t="s">
        <v>725</v>
      </c>
      <c r="T112" s="299"/>
      <c r="AE112" s="448"/>
    </row>
    <row r="113" spans="6:31" x14ac:dyDescent="0.35">
      <c r="F113" s="447"/>
      <c r="S113" s="310" t="s">
        <v>724</v>
      </c>
      <c r="T113" s="299"/>
      <c r="AE113" s="448"/>
    </row>
    <row r="114" spans="6:31" x14ac:dyDescent="0.35">
      <c r="F114" s="447"/>
      <c r="AE114" s="448"/>
    </row>
    <row r="115" spans="6:31" ht="15" thickBot="1" x14ac:dyDescent="0.4">
      <c r="F115" s="451"/>
      <c r="G115" s="452"/>
      <c r="H115" s="452"/>
      <c r="I115" s="452"/>
      <c r="J115" s="452"/>
      <c r="K115" s="452"/>
      <c r="L115" s="452"/>
      <c r="M115" s="452"/>
      <c r="N115" s="452"/>
      <c r="O115" s="452"/>
      <c r="P115" s="452"/>
      <c r="Q115" s="452"/>
      <c r="R115" s="452"/>
      <c r="S115" s="452"/>
      <c r="T115" s="452"/>
      <c r="U115" s="452"/>
      <c r="V115" s="452"/>
      <c r="W115" s="452"/>
      <c r="X115" s="452"/>
      <c r="Y115" s="452"/>
      <c r="Z115" s="452"/>
      <c r="AA115" s="452"/>
      <c r="AB115" s="452"/>
      <c r="AC115" s="452"/>
      <c r="AD115" s="452"/>
      <c r="AE115" s="453"/>
    </row>
  </sheetData>
  <mergeCells count="29">
    <mergeCell ref="AG58:AN58"/>
    <mergeCell ref="AA2:AT2"/>
    <mergeCell ref="A2:Z2"/>
    <mergeCell ref="W6:Y6"/>
    <mergeCell ref="O6:R6"/>
    <mergeCell ref="S6:U6"/>
    <mergeCell ref="G4:K4"/>
    <mergeCell ref="M6:N6"/>
    <mergeCell ref="P3:S3"/>
    <mergeCell ref="P4:S4"/>
    <mergeCell ref="Z6:AF6"/>
    <mergeCell ref="AG6:AM6"/>
    <mergeCell ref="F6:H6"/>
    <mergeCell ref="I6:K6"/>
    <mergeCell ref="F27:H27"/>
    <mergeCell ref="G3:K3"/>
    <mergeCell ref="X3:Z3"/>
    <mergeCell ref="L5:Z5"/>
    <mergeCell ref="F10:H10"/>
    <mergeCell ref="F9:H9"/>
    <mergeCell ref="AG42:AN42"/>
    <mergeCell ref="AG50:AN50"/>
    <mergeCell ref="F12:H12"/>
    <mergeCell ref="B5:K5"/>
    <mergeCell ref="F11:H11"/>
    <mergeCell ref="F28:H28"/>
    <mergeCell ref="I31:K31"/>
    <mergeCell ref="AA5:AU5"/>
    <mergeCell ref="AN6:AT6"/>
  </mergeCells>
  <conditionalFormatting sqref="A10:DG35">
    <cfRule type="expression" dxfId="24" priority="1">
      <formula>$D10&lt;&gt;$D9</formula>
    </cfRule>
  </conditionalFormatting>
  <conditionalFormatting sqref="AG42 AG43:AN43">
    <cfRule type="expression" dxfId="23" priority="14">
      <formula>$AG$40&lt;&gt;$AG$41</formula>
    </cfRule>
  </conditionalFormatting>
  <conditionalFormatting sqref="AG50 AG51:AN51">
    <cfRule type="expression" dxfId="22" priority="11">
      <formula>$AG$50="Portfolio needs to be re-balanced"</formula>
    </cfRule>
  </conditionalFormatting>
  <conditionalFormatting sqref="AG58 AG59:AN59">
    <cfRule type="expression" dxfId="21" priority="12">
      <formula>$AG$58="Portfolio needs to be re-balanced"</formula>
    </cfRule>
  </conditionalFormatting>
  <conditionalFormatting sqref="AJ36:AK36">
    <cfRule type="expression" dxfId="20" priority="4">
      <formula>$D36&lt;&gt;$D35</formula>
    </cfRule>
  </conditionalFormatting>
  <conditionalFormatting sqref="AK9:AK34">
    <cfRule type="cellIs" dxfId="19" priority="2" operator="lessThan">
      <formula>1</formula>
    </cfRule>
    <cfRule type="cellIs" dxfId="18" priority="3" operator="greaterThan">
      <formula>1</formula>
    </cfRule>
  </conditionalFormatting>
  <conditionalFormatting sqref="AK36">
    <cfRule type="cellIs" dxfId="17" priority="5" operator="lessThan">
      <formula>1</formula>
    </cfRule>
    <cfRule type="cellIs" dxfId="16" priority="6" operator="greaterThan">
      <formula>1</formula>
    </cfRule>
  </conditionalFormatting>
  <conditionalFormatting sqref="A9:DG9">
    <cfRule type="expression" dxfId="15" priority="281">
      <formula>$D9&lt;&gt;$D7</formula>
    </cfRule>
  </conditionalFormatting>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8D261-8C17-42DE-A738-7FC4573C08BC}">
  <dimension ref="A1:IV150"/>
  <sheetViews>
    <sheetView workbookViewId="0">
      <pane ySplit="2" topLeftCell="A32" activePane="bottomLeft" state="frozen"/>
      <selection pane="bottomLeft" activeCell="O69" sqref="O69"/>
    </sheetView>
  </sheetViews>
  <sheetFormatPr defaultRowHeight="14.5" x14ac:dyDescent="0.35"/>
  <cols>
    <col min="1" max="1" width="9.54296875" bestFit="1" customWidth="1"/>
    <col min="2" max="2" width="9.453125" customWidth="1"/>
    <col min="3" max="3" width="8.81640625" bestFit="1" customWidth="1"/>
    <col min="4" max="5" width="8.81640625" customWidth="1"/>
    <col min="6" max="6" width="8.81640625" bestFit="1" customWidth="1"/>
    <col min="7" max="7" width="17.1796875" style="32" bestFit="1" customWidth="1"/>
    <col min="8" max="8" width="14" style="32" bestFit="1" customWidth="1"/>
    <col min="9" max="9" width="13" style="32" bestFit="1" customWidth="1"/>
    <col min="10" max="10" width="8.81640625" style="32" customWidth="1"/>
    <col min="11" max="11" width="9.453125" style="32" bestFit="1" customWidth="1"/>
    <col min="12" max="12" width="2.7265625" customWidth="1"/>
    <col min="13" max="13" width="2.1796875" customWidth="1"/>
    <col min="14" max="14" width="9.81640625" bestFit="1" customWidth="1"/>
    <col min="15" max="15" width="11.453125" bestFit="1" customWidth="1"/>
  </cols>
  <sheetData>
    <row r="1" spans="1:256" x14ac:dyDescent="0.35">
      <c r="A1" s="652">
        <f>'Aggressive Portfolio Evals'!X7</f>
        <v>45890</v>
      </c>
      <c r="B1" s="653"/>
      <c r="C1" s="653"/>
      <c r="D1" s="653"/>
      <c r="E1" s="653"/>
      <c r="F1" s="654"/>
      <c r="G1" s="652" t="str">
        <f>'Aggressive Portfolio Evals'!AD7</f>
        <v>8/312025</v>
      </c>
      <c r="H1" s="653"/>
      <c r="I1" s="653"/>
      <c r="J1" s="653"/>
      <c r="K1" s="653"/>
      <c r="L1" s="653"/>
      <c r="M1" s="654"/>
    </row>
    <row r="2" spans="1:256" s="522" customFormat="1" ht="29" x14ac:dyDescent="0.35">
      <c r="A2" s="516" t="s">
        <v>26</v>
      </c>
      <c r="B2" s="517" t="s">
        <v>726</v>
      </c>
      <c r="C2" s="516" t="s">
        <v>727</v>
      </c>
      <c r="D2" s="516"/>
      <c r="E2" s="516"/>
      <c r="F2" s="518"/>
      <c r="G2" s="519" t="s">
        <v>728</v>
      </c>
      <c r="H2" s="519" t="s">
        <v>608</v>
      </c>
      <c r="I2" s="519" t="s">
        <v>729</v>
      </c>
      <c r="J2" s="519" t="s">
        <v>491</v>
      </c>
      <c r="K2" s="519" t="s">
        <v>730</v>
      </c>
      <c r="L2" s="520"/>
      <c r="M2" s="520"/>
      <c r="N2" s="520"/>
      <c r="O2" s="520"/>
      <c r="P2" s="520"/>
      <c r="Q2" s="520"/>
      <c r="R2" s="520"/>
      <c r="S2" s="521"/>
      <c r="T2" s="521"/>
      <c r="U2" s="651"/>
      <c r="V2" s="651"/>
      <c r="W2" s="521"/>
      <c r="X2" s="521"/>
      <c r="Y2" s="651"/>
      <c r="Z2" s="651"/>
      <c r="AA2" s="521"/>
      <c r="AB2" s="521"/>
      <c r="AC2" s="651"/>
      <c r="AD2" s="651"/>
      <c r="AE2" s="521"/>
      <c r="AF2" s="521"/>
      <c r="AG2" s="651"/>
      <c r="AH2" s="651"/>
      <c r="AI2" s="521"/>
      <c r="AJ2" s="521"/>
      <c r="AK2" s="651"/>
      <c r="AL2" s="651"/>
      <c r="AM2" s="521"/>
      <c r="AN2" s="521"/>
      <c r="AO2" s="651"/>
      <c r="AP2" s="651"/>
      <c r="AQ2" s="521"/>
      <c r="AR2" s="521"/>
      <c r="AS2" s="651"/>
      <c r="AT2" s="651"/>
      <c r="AU2" s="521"/>
      <c r="AV2" s="521"/>
      <c r="AW2" s="651"/>
      <c r="AX2" s="651"/>
      <c r="AY2" s="521"/>
      <c r="AZ2" s="521"/>
      <c r="BA2" s="651"/>
      <c r="BB2" s="651"/>
      <c r="BC2" s="521"/>
      <c r="BD2" s="521"/>
      <c r="BE2" s="651"/>
      <c r="BF2" s="651"/>
      <c r="BG2" s="521"/>
      <c r="BH2" s="521"/>
      <c r="BI2" s="651"/>
      <c r="BJ2" s="651"/>
      <c r="BK2" s="521"/>
      <c r="BL2" s="521"/>
      <c r="BM2" s="651"/>
      <c r="BN2" s="651"/>
      <c r="BO2" s="521"/>
      <c r="BP2" s="521"/>
      <c r="BQ2" s="651"/>
      <c r="BR2" s="651"/>
      <c r="BS2" s="521"/>
      <c r="BT2" s="521"/>
      <c r="BU2" s="651"/>
      <c r="BV2" s="651"/>
      <c r="BW2" s="521"/>
      <c r="BX2" s="521"/>
      <c r="BY2" s="651"/>
      <c r="BZ2" s="651"/>
      <c r="CA2" s="521"/>
      <c r="CB2" s="521"/>
      <c r="CC2" s="651"/>
      <c r="CD2" s="651"/>
      <c r="CE2" s="521"/>
      <c r="CF2" s="521"/>
      <c r="CG2" s="651"/>
      <c r="CH2" s="651"/>
      <c r="CI2" s="521"/>
      <c r="CJ2" s="521"/>
      <c r="CK2" s="651"/>
      <c r="CL2" s="651"/>
      <c r="CM2" s="521"/>
      <c r="CN2" s="521"/>
      <c r="CO2" s="651"/>
      <c r="CP2" s="651"/>
      <c r="CQ2" s="521"/>
      <c r="CR2" s="521"/>
      <c r="CS2" s="651"/>
      <c r="CT2" s="651"/>
      <c r="CU2" s="521"/>
      <c r="CV2" s="521"/>
      <c r="CW2" s="651"/>
      <c r="CX2" s="651"/>
      <c r="CY2" s="521"/>
      <c r="CZ2" s="521"/>
      <c r="DA2" s="651"/>
      <c r="DB2" s="651"/>
      <c r="DC2" s="521"/>
      <c r="DD2" s="521"/>
      <c r="DE2" s="651"/>
      <c r="DF2" s="651"/>
      <c r="DG2" s="521"/>
      <c r="DH2" s="521"/>
      <c r="DI2" s="651"/>
      <c r="DJ2" s="651"/>
      <c r="DK2" s="521"/>
      <c r="DL2" s="521"/>
      <c r="DM2" s="651"/>
      <c r="DN2" s="651"/>
      <c r="DO2" s="521"/>
      <c r="DP2" s="521"/>
      <c r="DQ2" s="651"/>
      <c r="DR2" s="651"/>
      <c r="DS2" s="521"/>
      <c r="DT2" s="521"/>
      <c r="DU2" s="651"/>
      <c r="DV2" s="651"/>
      <c r="DW2" s="521"/>
      <c r="DX2" s="521"/>
      <c r="DY2" s="651"/>
      <c r="DZ2" s="651"/>
      <c r="EA2" s="521"/>
      <c r="EB2" s="521"/>
      <c r="EC2" s="651"/>
      <c r="ED2" s="651"/>
      <c r="EE2" s="521"/>
      <c r="EF2" s="521"/>
      <c r="EG2" s="651"/>
      <c r="EH2" s="651"/>
      <c r="EI2" s="521"/>
      <c r="EJ2" s="521"/>
      <c r="EK2" s="651"/>
      <c r="EL2" s="651"/>
      <c r="EM2" s="521"/>
      <c r="EN2" s="521"/>
      <c r="EO2" s="651"/>
      <c r="EP2" s="651"/>
      <c r="EQ2" s="521"/>
      <c r="ER2" s="521"/>
      <c r="ES2" s="651"/>
      <c r="ET2" s="651"/>
      <c r="EU2" s="521"/>
      <c r="EV2" s="521"/>
      <c r="EW2" s="651"/>
      <c r="EX2" s="651"/>
      <c r="EY2" s="521"/>
      <c r="EZ2" s="521"/>
      <c r="FA2" s="651"/>
      <c r="FB2" s="651"/>
      <c r="FC2" s="521"/>
      <c r="FD2" s="521"/>
      <c r="FE2" s="651"/>
      <c r="FF2" s="651"/>
      <c r="FG2" s="521"/>
      <c r="FH2" s="521"/>
      <c r="FI2" s="651"/>
      <c r="FJ2" s="651"/>
      <c r="FK2" s="521"/>
      <c r="FL2" s="521"/>
      <c r="FM2" s="651"/>
      <c r="FN2" s="651"/>
      <c r="FO2" s="521"/>
      <c r="FP2" s="521"/>
      <c r="FQ2" s="651"/>
      <c r="FR2" s="651"/>
      <c r="FS2" s="521"/>
      <c r="FT2" s="521"/>
      <c r="FU2" s="651"/>
      <c r="FV2" s="651"/>
      <c r="FW2" s="521"/>
      <c r="FX2" s="521"/>
      <c r="FY2" s="651"/>
      <c r="FZ2" s="651"/>
      <c r="GA2" s="521"/>
      <c r="GB2" s="521"/>
      <c r="GC2" s="651"/>
      <c r="GD2" s="651"/>
      <c r="GE2" s="521"/>
      <c r="GF2" s="521"/>
      <c r="GG2" s="651"/>
      <c r="GH2" s="651"/>
      <c r="GI2" s="521"/>
      <c r="GJ2" s="521"/>
      <c r="GK2" s="651"/>
      <c r="GL2" s="651"/>
      <c r="GM2" s="521"/>
      <c r="GN2" s="521"/>
      <c r="GO2" s="651"/>
      <c r="GP2" s="651"/>
      <c r="GQ2" s="521"/>
      <c r="GR2" s="521"/>
      <c r="GS2" s="651"/>
      <c r="GT2" s="651"/>
      <c r="GU2" s="521"/>
      <c r="GV2" s="521"/>
      <c r="GW2" s="651"/>
      <c r="GX2" s="651"/>
      <c r="GY2" s="521"/>
      <c r="GZ2" s="521"/>
      <c r="HA2" s="651"/>
      <c r="HB2" s="651"/>
      <c r="HC2" s="521"/>
      <c r="HD2" s="521"/>
      <c r="HE2" s="651"/>
      <c r="HF2" s="651"/>
      <c r="HG2" s="521"/>
      <c r="HH2" s="521"/>
      <c r="HI2" s="651"/>
      <c r="HJ2" s="651"/>
      <c r="HK2" s="521"/>
      <c r="HL2" s="521"/>
      <c r="HM2" s="651"/>
      <c r="HN2" s="651"/>
      <c r="HO2" s="521"/>
      <c r="HP2" s="521"/>
      <c r="HQ2" s="651"/>
      <c r="HR2" s="651"/>
      <c r="HS2" s="521"/>
      <c r="HT2" s="521"/>
      <c r="HU2" s="651"/>
      <c r="HV2" s="651"/>
      <c r="HW2" s="521"/>
      <c r="HX2" s="521"/>
      <c r="HY2" s="651"/>
      <c r="HZ2" s="651"/>
      <c r="IA2" s="521"/>
      <c r="IB2" s="521"/>
      <c r="IC2" s="651"/>
      <c r="ID2" s="651"/>
      <c r="IE2" s="521"/>
      <c r="IF2" s="521"/>
      <c r="IG2" s="651"/>
      <c r="IH2" s="651"/>
      <c r="II2" s="521"/>
      <c r="IJ2" s="521"/>
      <c r="IK2" s="651"/>
      <c r="IL2" s="651"/>
      <c r="IM2" s="521"/>
      <c r="IN2" s="521"/>
      <c r="IO2" s="651"/>
      <c r="IP2" s="651"/>
      <c r="IQ2" s="521"/>
      <c r="IR2" s="521"/>
      <c r="IS2" s="651"/>
      <c r="IT2" s="651"/>
      <c r="IU2" s="521"/>
      <c r="IV2" s="521">
        <f>'Conservative Portfolio Evals'!KA6</f>
        <v>0</v>
      </c>
    </row>
    <row r="3" spans="1:256" s="312" customFormat="1" x14ac:dyDescent="0.35">
      <c r="A3" s="17" t="s">
        <v>31</v>
      </c>
      <c r="B3" s="193">
        <v>45890</v>
      </c>
      <c r="C3" s="313"/>
      <c r="D3" s="313"/>
      <c r="E3" s="313"/>
      <c r="F3" s="313"/>
      <c r="G3" s="32" t="s">
        <v>0</v>
      </c>
      <c r="H3" s="32" t="s">
        <v>33</v>
      </c>
      <c r="I3" s="509">
        <v>235315.36</v>
      </c>
      <c r="J3" s="32"/>
      <c r="K3" s="32"/>
      <c r="L3"/>
      <c r="M3"/>
      <c r="N3"/>
      <c r="O3"/>
      <c r="P3"/>
      <c r="Q3"/>
      <c r="R3"/>
      <c r="S3" s="313"/>
      <c r="T3" s="313"/>
      <c r="U3" s="315"/>
      <c r="V3" s="316"/>
      <c r="W3" s="313"/>
      <c r="X3" s="313"/>
      <c r="Y3" s="315"/>
      <c r="Z3" s="316"/>
      <c r="AA3" s="313"/>
      <c r="AB3" s="313"/>
      <c r="AC3" s="315"/>
      <c r="AD3" s="316"/>
      <c r="AE3" s="313"/>
      <c r="AF3" s="313"/>
      <c r="AG3" s="315"/>
      <c r="AH3" s="316"/>
      <c r="AI3" s="313"/>
      <c r="AJ3" s="313"/>
      <c r="AK3" s="315"/>
      <c r="AL3" s="316"/>
      <c r="AM3" s="313"/>
      <c r="AN3" s="313"/>
      <c r="AO3" s="315"/>
      <c r="AP3" s="316"/>
      <c r="AQ3" s="313"/>
      <c r="AR3" s="313"/>
      <c r="AS3" s="315"/>
      <c r="AT3" s="316"/>
      <c r="AU3" s="313"/>
      <c r="AV3" s="313"/>
      <c r="AW3" s="315"/>
      <c r="AX3" s="316"/>
      <c r="AY3" s="313"/>
      <c r="AZ3" s="313"/>
      <c r="BA3" s="315"/>
      <c r="BB3" s="316"/>
      <c r="BC3" s="313"/>
      <c r="BD3" s="313"/>
      <c r="BE3" s="315"/>
      <c r="BF3" s="316"/>
      <c r="BG3" s="313"/>
      <c r="BH3" s="313"/>
      <c r="BI3" s="315"/>
      <c r="BJ3" s="316"/>
      <c r="BK3" s="313"/>
      <c r="BL3" s="313"/>
      <c r="BM3" s="315"/>
      <c r="BN3" s="316"/>
      <c r="BO3" s="313"/>
      <c r="BP3" s="313"/>
      <c r="BQ3" s="315"/>
      <c r="BR3" s="316"/>
      <c r="BS3" s="313"/>
      <c r="BT3" s="313"/>
      <c r="BU3" s="315"/>
      <c r="BV3" s="316"/>
      <c r="BW3" s="313"/>
      <c r="BX3" s="313"/>
      <c r="BY3" s="315"/>
      <c r="BZ3" s="316"/>
      <c r="CA3" s="313"/>
      <c r="CB3" s="313"/>
      <c r="CC3" s="315"/>
      <c r="CD3" s="316"/>
      <c r="CE3" s="313"/>
      <c r="CF3" s="313"/>
      <c r="CG3" s="315"/>
      <c r="CH3" s="316"/>
      <c r="CI3" s="313"/>
      <c r="CJ3" s="313"/>
      <c r="CK3" s="315"/>
      <c r="CL3" s="316"/>
      <c r="CM3" s="313"/>
      <c r="CN3" s="313"/>
      <c r="CO3" s="315"/>
      <c r="CP3" s="316"/>
      <c r="CQ3" s="313"/>
      <c r="CR3" s="313"/>
      <c r="CS3" s="315"/>
      <c r="CT3" s="316"/>
      <c r="CU3" s="313"/>
      <c r="CV3" s="313"/>
      <c r="CW3" s="315"/>
      <c r="CX3" s="316"/>
      <c r="CY3" s="313"/>
      <c r="CZ3" s="313"/>
      <c r="DA3" s="315"/>
      <c r="DB3" s="316"/>
      <c r="DC3" s="313"/>
      <c r="DD3" s="313"/>
      <c r="DE3" s="315"/>
      <c r="DF3" s="316"/>
      <c r="DG3" s="313"/>
      <c r="DH3" s="313"/>
      <c r="DI3" s="315"/>
      <c r="DJ3" s="316"/>
      <c r="DK3" s="313"/>
      <c r="DL3" s="313"/>
      <c r="DM3" s="315"/>
      <c r="DN3" s="316"/>
      <c r="DO3" s="313"/>
      <c r="DP3" s="313"/>
      <c r="DQ3" s="315"/>
      <c r="DR3" s="316"/>
      <c r="DS3" s="313"/>
      <c r="DT3" s="313"/>
      <c r="DU3" s="315"/>
      <c r="DV3" s="316"/>
      <c r="DW3" s="313"/>
      <c r="DX3" s="313"/>
      <c r="DY3" s="315"/>
      <c r="DZ3" s="316"/>
      <c r="EA3" s="313"/>
      <c r="EB3" s="313"/>
      <c r="EC3" s="315"/>
      <c r="ED3" s="316"/>
      <c r="EE3" s="313"/>
      <c r="EF3" s="313"/>
      <c r="EG3" s="315"/>
      <c r="EH3" s="316"/>
      <c r="EI3" s="313"/>
      <c r="EJ3" s="313"/>
      <c r="EK3" s="315"/>
      <c r="EL3" s="316"/>
      <c r="EM3" s="313"/>
      <c r="EN3" s="313"/>
      <c r="EO3" s="315"/>
      <c r="EP3" s="316"/>
      <c r="EQ3" s="313"/>
      <c r="ER3" s="313"/>
      <c r="ES3" s="315"/>
      <c r="ET3" s="316"/>
      <c r="EU3" s="313"/>
      <c r="EV3" s="313"/>
      <c r="EW3" s="315"/>
      <c r="EX3" s="316"/>
      <c r="EY3" s="313"/>
      <c r="EZ3" s="313"/>
      <c r="FA3" s="315"/>
      <c r="FB3" s="316"/>
      <c r="FC3" s="313"/>
      <c r="FD3" s="313"/>
      <c r="FE3" s="315"/>
      <c r="FF3" s="316"/>
      <c r="FG3" s="313"/>
      <c r="FH3" s="313"/>
      <c r="FI3" s="315"/>
      <c r="FJ3" s="316"/>
      <c r="FK3" s="313"/>
      <c r="FL3" s="313"/>
      <c r="FM3" s="315"/>
      <c r="FN3" s="316"/>
      <c r="FO3" s="313"/>
      <c r="FP3" s="313"/>
      <c r="FQ3" s="315"/>
      <c r="FR3" s="316"/>
      <c r="FS3" s="313"/>
      <c r="FT3" s="313"/>
      <c r="FU3" s="315"/>
      <c r="FV3" s="316"/>
      <c r="FW3" s="313"/>
      <c r="FX3" s="313"/>
      <c r="FY3" s="315"/>
      <c r="FZ3" s="316"/>
      <c r="GA3" s="313"/>
      <c r="GB3" s="313"/>
      <c r="GC3" s="315"/>
      <c r="GD3" s="316"/>
      <c r="GE3" s="313"/>
      <c r="GF3" s="313"/>
      <c r="GG3" s="315"/>
      <c r="GH3" s="316"/>
      <c r="GI3" s="313"/>
      <c r="GJ3" s="313"/>
      <c r="GK3" s="315"/>
      <c r="GL3" s="316"/>
      <c r="GM3" s="313"/>
      <c r="GN3" s="313"/>
      <c r="GO3" s="315"/>
      <c r="GP3" s="316"/>
      <c r="GQ3" s="313"/>
      <c r="GR3" s="313"/>
      <c r="GS3" s="315"/>
      <c r="GT3" s="316"/>
      <c r="GU3" s="313"/>
      <c r="GV3" s="313"/>
      <c r="GW3" s="315"/>
      <c r="GX3" s="316"/>
      <c r="GY3" s="313"/>
      <c r="GZ3" s="313"/>
      <c r="HA3" s="315"/>
      <c r="HB3" s="316"/>
      <c r="HC3" s="313"/>
      <c r="HD3" s="313"/>
      <c r="HE3" s="315"/>
      <c r="HF3" s="316"/>
      <c r="HG3" s="313"/>
      <c r="HH3" s="313"/>
      <c r="HI3" s="315"/>
      <c r="HJ3" s="316"/>
      <c r="HK3" s="313"/>
      <c r="HL3" s="313"/>
      <c r="HM3" s="315"/>
      <c r="HN3" s="316"/>
      <c r="HO3" s="313"/>
      <c r="HP3" s="313"/>
      <c r="HQ3" s="315"/>
      <c r="HR3" s="316"/>
      <c r="HS3" s="313"/>
      <c r="HT3" s="313"/>
      <c r="HU3" s="315"/>
      <c r="HV3" s="316"/>
      <c r="HW3" s="313"/>
      <c r="HX3" s="313"/>
      <c r="HY3" s="315"/>
      <c r="HZ3" s="316"/>
      <c r="IA3" s="313"/>
      <c r="IB3" s="313"/>
      <c r="IC3" s="315"/>
      <c r="ID3" s="316"/>
      <c r="IE3" s="313"/>
      <c r="IF3" s="313"/>
      <c r="IG3" s="315"/>
      <c r="IH3" s="316"/>
      <c r="II3" s="313"/>
      <c r="IJ3" s="313"/>
      <c r="IK3" s="315"/>
      <c r="IL3" s="316"/>
      <c r="IM3" s="313"/>
      <c r="IN3" s="313"/>
      <c r="IO3" s="315"/>
      <c r="IP3" s="316"/>
      <c r="IQ3" s="313"/>
      <c r="IR3" s="313"/>
      <c r="IS3" s="315"/>
      <c r="IT3" s="316"/>
      <c r="IU3" s="313"/>
      <c r="IV3" s="313"/>
    </row>
    <row r="4" spans="1:256" ht="87" x14ac:dyDescent="0.35">
      <c r="A4" s="12" t="s">
        <v>32</v>
      </c>
      <c r="B4" s="298" t="s">
        <v>398</v>
      </c>
      <c r="G4" s="32" t="s">
        <v>0</v>
      </c>
      <c r="H4" s="32" t="s">
        <v>35</v>
      </c>
      <c r="I4" s="509">
        <v>21838.63</v>
      </c>
      <c r="J4" s="32">
        <v>2381.5309999999999</v>
      </c>
      <c r="K4" s="509">
        <v>9.69</v>
      </c>
    </row>
    <row r="5" spans="1:256" x14ac:dyDescent="0.35">
      <c r="A5" s="424" t="s">
        <v>617</v>
      </c>
      <c r="B5" s="1">
        <f>86868+12633</f>
        <v>99501</v>
      </c>
      <c r="G5" s="32" t="s">
        <v>0</v>
      </c>
      <c r="H5" s="32" t="s">
        <v>53</v>
      </c>
      <c r="I5" s="509">
        <v>30088.23</v>
      </c>
      <c r="J5" s="32">
        <v>3964.194</v>
      </c>
      <c r="K5" s="509">
        <v>7.84</v>
      </c>
    </row>
    <row r="6" spans="1:256" x14ac:dyDescent="0.35">
      <c r="A6" s="15" t="s">
        <v>34</v>
      </c>
      <c r="B6" s="1"/>
      <c r="G6" s="32" t="s">
        <v>28</v>
      </c>
      <c r="H6" s="32" t="s">
        <v>33</v>
      </c>
      <c r="I6" s="509">
        <v>172329.27</v>
      </c>
    </row>
    <row r="7" spans="1:256" x14ac:dyDescent="0.35">
      <c r="A7" s="544" t="s">
        <v>35</v>
      </c>
      <c r="B7" s="1">
        <v>21695</v>
      </c>
      <c r="G7" s="32" t="s">
        <v>28</v>
      </c>
      <c r="H7" s="32" t="s">
        <v>60</v>
      </c>
      <c r="I7" s="509">
        <v>8990.19</v>
      </c>
      <c r="J7" s="32">
        <v>9000</v>
      </c>
      <c r="K7" s="32" t="s">
        <v>624</v>
      </c>
    </row>
    <row r="8" spans="1:256" x14ac:dyDescent="0.35">
      <c r="A8" s="15" t="s">
        <v>36</v>
      </c>
      <c r="B8" s="1"/>
      <c r="G8" s="32" t="s">
        <v>28</v>
      </c>
      <c r="H8" s="32" t="s">
        <v>61</v>
      </c>
      <c r="I8" s="509">
        <v>15089.1</v>
      </c>
      <c r="J8" s="32">
        <v>65</v>
      </c>
      <c r="K8" s="509">
        <v>175.06</v>
      </c>
    </row>
    <row r="9" spans="1:256" x14ac:dyDescent="0.35">
      <c r="A9" s="15" t="s">
        <v>37</v>
      </c>
      <c r="B9" s="1"/>
      <c r="G9" s="32" t="s">
        <v>28</v>
      </c>
      <c r="H9" s="32" t="s">
        <v>62</v>
      </c>
      <c r="I9" s="509">
        <v>11572</v>
      </c>
      <c r="J9" s="32">
        <v>55</v>
      </c>
      <c r="K9" s="509">
        <v>117.04</v>
      </c>
    </row>
    <row r="10" spans="1:256" x14ac:dyDescent="0.35">
      <c r="A10" s="183" t="s">
        <v>38</v>
      </c>
      <c r="B10" s="1">
        <v>10748</v>
      </c>
      <c r="G10" s="32" t="s">
        <v>28</v>
      </c>
      <c r="H10" s="32" t="s">
        <v>64</v>
      </c>
      <c r="I10" s="509">
        <v>23189.599999999999</v>
      </c>
      <c r="J10" s="32">
        <v>70</v>
      </c>
      <c r="K10" s="509">
        <v>230.41</v>
      </c>
    </row>
    <row r="11" spans="1:256" x14ac:dyDescent="0.35">
      <c r="A11" s="544" t="s">
        <v>39</v>
      </c>
      <c r="B11" s="1">
        <v>25728</v>
      </c>
      <c r="G11" s="32" t="s">
        <v>28</v>
      </c>
      <c r="H11" s="32" t="s">
        <v>65</v>
      </c>
      <c r="I11" s="509">
        <v>20992.65</v>
      </c>
      <c r="J11" s="32">
        <v>5</v>
      </c>
      <c r="K11" s="509">
        <v>1164.2</v>
      </c>
    </row>
    <row r="12" spans="1:256" x14ac:dyDescent="0.35">
      <c r="A12" s="544" t="s">
        <v>40</v>
      </c>
      <c r="B12" s="1">
        <v>9264</v>
      </c>
      <c r="G12" s="32" t="s">
        <v>28</v>
      </c>
      <c r="H12" s="32" t="s">
        <v>67</v>
      </c>
      <c r="I12" s="509">
        <v>6235.25</v>
      </c>
      <c r="J12" s="32">
        <v>5</v>
      </c>
      <c r="K12" s="509">
        <v>1408</v>
      </c>
    </row>
    <row r="13" spans="1:256" x14ac:dyDescent="0.35">
      <c r="A13" s="544" t="s">
        <v>731</v>
      </c>
      <c r="B13" s="1">
        <v>9130</v>
      </c>
      <c r="G13" s="32" t="s">
        <v>28</v>
      </c>
      <c r="H13" s="32" t="s">
        <v>70</v>
      </c>
      <c r="I13" s="509">
        <v>11295</v>
      </c>
      <c r="J13" s="32">
        <v>100</v>
      </c>
      <c r="K13" s="509">
        <v>96.7</v>
      </c>
    </row>
    <row r="14" spans="1:256" x14ac:dyDescent="0.35">
      <c r="A14" s="544" t="s">
        <v>42</v>
      </c>
      <c r="B14" s="1">
        <v>16031</v>
      </c>
      <c r="G14" s="32" t="s">
        <v>28</v>
      </c>
      <c r="H14" s="32" t="s">
        <v>71</v>
      </c>
      <c r="I14" s="509">
        <v>12848</v>
      </c>
      <c r="J14" s="32">
        <v>80</v>
      </c>
      <c r="K14" s="509">
        <v>143.13</v>
      </c>
    </row>
    <row r="15" spans="1:256" x14ac:dyDescent="0.35">
      <c r="A15" s="544" t="s">
        <v>43</v>
      </c>
      <c r="B15" s="1">
        <v>15127</v>
      </c>
      <c r="G15" s="32" t="s">
        <v>28</v>
      </c>
      <c r="H15" s="32" t="s">
        <v>75</v>
      </c>
      <c r="I15" s="509">
        <v>3396.4</v>
      </c>
      <c r="J15" s="32">
        <v>40</v>
      </c>
      <c r="K15" s="509">
        <v>64.78</v>
      </c>
    </row>
    <row r="16" spans="1:256" x14ac:dyDescent="0.35">
      <c r="A16" s="16" t="s">
        <v>171</v>
      </c>
      <c r="B16" s="1">
        <v>6568</v>
      </c>
      <c r="G16" s="32" t="s">
        <v>28</v>
      </c>
      <c r="H16" s="32" t="s">
        <v>76</v>
      </c>
      <c r="I16" s="509">
        <v>9215.1</v>
      </c>
      <c r="J16" s="32">
        <v>30</v>
      </c>
      <c r="K16" s="509">
        <v>248.92</v>
      </c>
    </row>
    <row r="17" spans="1:11" x14ac:dyDescent="0.35">
      <c r="A17" s="15" t="s">
        <v>45</v>
      </c>
      <c r="B17" s="1"/>
      <c r="G17" s="32" t="s">
        <v>28</v>
      </c>
      <c r="H17" s="32" t="s">
        <v>79</v>
      </c>
      <c r="I17" s="509">
        <v>8559.76</v>
      </c>
      <c r="J17" s="32">
        <v>615.36800000000005</v>
      </c>
      <c r="K17" s="509">
        <v>14.12</v>
      </c>
    </row>
    <row r="18" spans="1:11" x14ac:dyDescent="0.35">
      <c r="A18" s="26" t="s">
        <v>46</v>
      </c>
      <c r="B18" s="1"/>
      <c r="G18" s="32" t="s">
        <v>28</v>
      </c>
      <c r="H18" s="32" t="s">
        <v>80</v>
      </c>
      <c r="I18" s="509">
        <v>230247.02</v>
      </c>
      <c r="J18" s="32">
        <v>10219.575000000001</v>
      </c>
      <c r="K18" s="509">
        <v>22.53</v>
      </c>
    </row>
    <row r="19" spans="1:11" x14ac:dyDescent="0.35">
      <c r="A19" s="544" t="s">
        <v>47</v>
      </c>
      <c r="B19" s="1">
        <v>9093</v>
      </c>
      <c r="G19" s="32" t="s">
        <v>28</v>
      </c>
      <c r="H19" s="32" t="s">
        <v>38</v>
      </c>
      <c r="I19" s="509">
        <v>16512</v>
      </c>
      <c r="J19" s="32">
        <v>60</v>
      </c>
      <c r="K19" s="509">
        <v>265.87</v>
      </c>
    </row>
    <row r="20" spans="1:11" x14ac:dyDescent="0.35">
      <c r="A20" s="26" t="s">
        <v>48</v>
      </c>
      <c r="B20" s="1"/>
      <c r="G20" s="32" t="s">
        <v>28</v>
      </c>
      <c r="H20" s="32" t="s">
        <v>81</v>
      </c>
      <c r="I20" s="509">
        <v>14903.7</v>
      </c>
      <c r="J20" s="32">
        <v>70</v>
      </c>
      <c r="K20" s="509">
        <v>89.01</v>
      </c>
    </row>
    <row r="21" spans="1:11" x14ac:dyDescent="0.35">
      <c r="A21" s="424" t="s">
        <v>49</v>
      </c>
      <c r="B21" s="1">
        <v>26375</v>
      </c>
      <c r="G21" s="32" t="s">
        <v>28</v>
      </c>
      <c r="H21" s="32" t="s">
        <v>82</v>
      </c>
      <c r="I21" s="509">
        <v>9688.25</v>
      </c>
      <c r="J21" s="32">
        <v>13</v>
      </c>
      <c r="K21" s="509">
        <v>481.56</v>
      </c>
    </row>
    <row r="22" spans="1:11" ht="15.5" x14ac:dyDescent="0.35">
      <c r="A22" s="171" t="s">
        <v>50</v>
      </c>
      <c r="B22" s="1">
        <v>5517</v>
      </c>
      <c r="G22" s="32" t="s">
        <v>28</v>
      </c>
      <c r="H22" s="32" t="s">
        <v>83</v>
      </c>
      <c r="I22" s="509">
        <v>6384</v>
      </c>
      <c r="J22" s="32">
        <v>300</v>
      </c>
      <c r="K22" s="509">
        <v>24.69</v>
      </c>
    </row>
    <row r="23" spans="1:11" x14ac:dyDescent="0.35">
      <c r="A23" s="26" t="s">
        <v>51</v>
      </c>
      <c r="B23" s="1"/>
      <c r="G23" s="32" t="s">
        <v>28</v>
      </c>
      <c r="H23" s="32" t="s">
        <v>85</v>
      </c>
      <c r="I23" s="509">
        <v>24237.599999999999</v>
      </c>
      <c r="J23" s="32">
        <v>60</v>
      </c>
      <c r="K23" s="509">
        <v>313.93</v>
      </c>
    </row>
    <row r="24" spans="1:11" x14ac:dyDescent="0.35">
      <c r="A24" s="26" t="s">
        <v>52</v>
      </c>
      <c r="B24" s="1"/>
      <c r="G24" s="32" t="s">
        <v>28</v>
      </c>
      <c r="H24" s="32" t="s">
        <v>86</v>
      </c>
      <c r="I24" s="509">
        <v>18304.650000000001</v>
      </c>
      <c r="J24" s="32">
        <v>45</v>
      </c>
      <c r="K24" s="509">
        <v>273.45</v>
      </c>
    </row>
    <row r="25" spans="1:11" x14ac:dyDescent="0.35">
      <c r="A25" s="29" t="s">
        <v>53</v>
      </c>
      <c r="B25" s="1">
        <v>30049</v>
      </c>
      <c r="G25" s="32" t="s">
        <v>28</v>
      </c>
      <c r="H25" s="32" t="s">
        <v>89</v>
      </c>
      <c r="I25" s="509">
        <v>19548</v>
      </c>
      <c r="J25" s="32">
        <v>300</v>
      </c>
      <c r="K25" s="509">
        <v>59.5</v>
      </c>
    </row>
    <row r="26" spans="1:11" x14ac:dyDescent="0.35">
      <c r="A26" s="544"/>
      <c r="B26" s="32"/>
      <c r="G26" s="32" t="s">
        <v>28</v>
      </c>
      <c r="H26" s="32" t="s">
        <v>41</v>
      </c>
      <c r="I26" s="509">
        <v>10623.6</v>
      </c>
      <c r="J26" s="32">
        <v>90</v>
      </c>
      <c r="K26" s="509">
        <v>116.89</v>
      </c>
    </row>
    <row r="27" spans="1:11" x14ac:dyDescent="0.35">
      <c r="A27" s="17" t="s">
        <v>54</v>
      </c>
      <c r="B27" s="32"/>
      <c r="G27" s="32" t="s">
        <v>28</v>
      </c>
      <c r="H27" s="32" t="s">
        <v>90</v>
      </c>
      <c r="I27" s="509">
        <v>21621</v>
      </c>
      <c r="J27" s="32">
        <v>300</v>
      </c>
      <c r="K27" s="509">
        <v>59.91</v>
      </c>
    </row>
    <row r="28" spans="1:11" x14ac:dyDescent="0.35">
      <c r="A28" s="544" t="s">
        <v>55</v>
      </c>
      <c r="B28" s="32"/>
      <c r="G28" s="32" t="s">
        <v>28</v>
      </c>
      <c r="H28" s="32" t="s">
        <v>42</v>
      </c>
      <c r="I28" s="509">
        <v>16494</v>
      </c>
      <c r="J28" s="32">
        <v>54.720999999999997</v>
      </c>
      <c r="K28" s="509">
        <v>300.38</v>
      </c>
    </row>
    <row r="29" spans="1:11" ht="43.5" x14ac:dyDescent="0.35">
      <c r="A29" s="79" t="s">
        <v>56</v>
      </c>
      <c r="B29" s="77" t="e">
        <f>IF(B$3="","",(B30-A30)/A30)</f>
        <v>#VALUE!</v>
      </c>
      <c r="G29" s="32" t="s">
        <v>28</v>
      </c>
      <c r="H29" s="32" t="s">
        <v>93</v>
      </c>
      <c r="I29" s="509">
        <v>15327.5</v>
      </c>
      <c r="J29" s="32">
        <v>250</v>
      </c>
      <c r="K29" s="509">
        <v>49.05</v>
      </c>
    </row>
    <row r="30" spans="1:11" x14ac:dyDescent="0.35">
      <c r="A30" s="13" t="s">
        <v>57</v>
      </c>
      <c r="B30" s="213">
        <f>IF(B3="","",SUM(B5:B26))</f>
        <v>284826</v>
      </c>
      <c r="G30" s="32" t="s">
        <v>28</v>
      </c>
      <c r="H30" s="32" t="s">
        <v>43</v>
      </c>
      <c r="I30" s="509">
        <v>15019.3</v>
      </c>
      <c r="J30" s="32">
        <v>29.641999999999999</v>
      </c>
      <c r="K30" s="509">
        <v>506.11</v>
      </c>
    </row>
    <row r="31" spans="1:11" x14ac:dyDescent="0.35">
      <c r="A31" s="14"/>
      <c r="B31" s="216"/>
      <c r="G31" s="32" t="s">
        <v>28</v>
      </c>
      <c r="H31" s="32" t="s">
        <v>99</v>
      </c>
      <c r="I31" s="509">
        <v>22976.1</v>
      </c>
      <c r="J31" s="32">
        <v>630</v>
      </c>
      <c r="K31" s="509">
        <v>28.82</v>
      </c>
    </row>
    <row r="32" spans="1:11" ht="145" x14ac:dyDescent="0.35">
      <c r="A32" s="12" t="s">
        <v>32</v>
      </c>
      <c r="B32" s="298" t="s">
        <v>399</v>
      </c>
      <c r="G32" s="32" t="s">
        <v>28</v>
      </c>
      <c r="H32" s="32" t="s">
        <v>47</v>
      </c>
      <c r="I32" s="509">
        <v>14580.13</v>
      </c>
      <c r="J32" s="32">
        <v>63.152999999999999</v>
      </c>
      <c r="K32" s="509">
        <v>237.52</v>
      </c>
    </row>
    <row r="33" spans="1:11" x14ac:dyDescent="0.35">
      <c r="A33" s="424" t="s">
        <v>617</v>
      </c>
      <c r="B33" s="1">
        <v>7547</v>
      </c>
      <c r="G33" s="32" t="s">
        <v>28</v>
      </c>
      <c r="H33" s="32" t="s">
        <v>104</v>
      </c>
      <c r="I33" s="509">
        <v>23437.5</v>
      </c>
      <c r="J33" s="32">
        <v>250</v>
      </c>
      <c r="K33" s="509">
        <v>68.239999999999995</v>
      </c>
    </row>
    <row r="34" spans="1:11" ht="22" x14ac:dyDescent="0.35">
      <c r="A34" s="26" t="s">
        <v>59</v>
      </c>
      <c r="B34" s="1"/>
      <c r="G34" s="32" t="s">
        <v>28</v>
      </c>
      <c r="H34" s="32" t="s">
        <v>106</v>
      </c>
      <c r="I34" s="509">
        <v>7923.76</v>
      </c>
      <c r="J34" s="32">
        <v>26</v>
      </c>
      <c r="K34" s="509">
        <v>346.83</v>
      </c>
    </row>
    <row r="35" spans="1:11" ht="29" x14ac:dyDescent="0.35">
      <c r="A35" s="16" t="s">
        <v>60</v>
      </c>
      <c r="B35" s="1">
        <v>8986</v>
      </c>
      <c r="G35" s="32" t="s">
        <v>28</v>
      </c>
      <c r="H35" s="32" t="s">
        <v>49</v>
      </c>
      <c r="I35" s="509">
        <v>22016.25</v>
      </c>
      <c r="J35" s="32">
        <v>375</v>
      </c>
      <c r="K35" s="509">
        <v>50.92</v>
      </c>
    </row>
    <row r="36" spans="1:11" x14ac:dyDescent="0.35">
      <c r="A36" s="16" t="s">
        <v>61</v>
      </c>
      <c r="B36" s="1">
        <v>14619</v>
      </c>
      <c r="G36" s="32" t="s">
        <v>28</v>
      </c>
      <c r="H36" s="32" t="s">
        <v>111</v>
      </c>
      <c r="I36" s="509">
        <v>14314.5</v>
      </c>
      <c r="J36" s="32">
        <v>225</v>
      </c>
      <c r="K36" s="509">
        <v>47.03</v>
      </c>
    </row>
    <row r="37" spans="1:11" x14ac:dyDescent="0.35">
      <c r="A37" s="16" t="s">
        <v>62</v>
      </c>
      <c r="B37" s="1">
        <v>11523</v>
      </c>
      <c r="G37" s="32" t="s">
        <v>28</v>
      </c>
      <c r="H37" s="32" t="s">
        <v>113</v>
      </c>
      <c r="I37" s="509">
        <v>17986.8</v>
      </c>
      <c r="J37" s="32">
        <v>195</v>
      </c>
      <c r="K37" s="509">
        <v>89.73</v>
      </c>
    </row>
    <row r="38" spans="1:11" x14ac:dyDescent="0.35">
      <c r="A38" s="544" t="s">
        <v>63</v>
      </c>
      <c r="B38" s="1">
        <v>17756</v>
      </c>
      <c r="G38" s="32" t="s">
        <v>28</v>
      </c>
      <c r="H38" s="32" t="s">
        <v>50</v>
      </c>
      <c r="I38" s="509">
        <v>5610.8</v>
      </c>
      <c r="J38" s="32">
        <v>40</v>
      </c>
      <c r="K38" s="509">
        <v>140.21</v>
      </c>
    </row>
    <row r="39" spans="1:11" x14ac:dyDescent="0.35">
      <c r="A39" s="16" t="s">
        <v>64</v>
      </c>
      <c r="B39" s="1">
        <v>21572</v>
      </c>
      <c r="G39" s="32" t="s">
        <v>28</v>
      </c>
      <c r="H39" s="32" t="s">
        <v>116</v>
      </c>
      <c r="I39" s="509">
        <v>19440</v>
      </c>
      <c r="J39" s="32">
        <v>16</v>
      </c>
      <c r="K39" s="509">
        <v>1333.11</v>
      </c>
    </row>
    <row r="40" spans="1:11" x14ac:dyDescent="0.35">
      <c r="A40" s="16" t="s">
        <v>65</v>
      </c>
      <c r="B40" s="1">
        <v>20638</v>
      </c>
      <c r="G40" s="32" t="s">
        <v>28</v>
      </c>
      <c r="H40" s="32" t="s">
        <v>117</v>
      </c>
      <c r="I40" s="509">
        <v>26034.85</v>
      </c>
      <c r="J40" s="32">
        <v>115</v>
      </c>
      <c r="K40" s="509">
        <v>134.4</v>
      </c>
    </row>
    <row r="41" spans="1:11" x14ac:dyDescent="0.35">
      <c r="A41" s="26" t="s">
        <v>66</v>
      </c>
      <c r="B41" s="1"/>
      <c r="G41" s="32" t="s">
        <v>29</v>
      </c>
      <c r="H41" s="32" t="s">
        <v>119</v>
      </c>
      <c r="I41" s="509">
        <v>16356.96</v>
      </c>
      <c r="J41" s="32">
        <v>165</v>
      </c>
      <c r="K41" s="509">
        <v>115.51</v>
      </c>
    </row>
    <row r="42" spans="1:11" x14ac:dyDescent="0.35">
      <c r="A42" s="544" t="s">
        <v>67</v>
      </c>
      <c r="B42" s="1">
        <v>6200</v>
      </c>
      <c r="G42" s="32" t="s">
        <v>29</v>
      </c>
      <c r="H42" s="32" t="s">
        <v>120</v>
      </c>
      <c r="I42" s="509">
        <v>11630.09</v>
      </c>
      <c r="J42" s="32">
        <v>150</v>
      </c>
      <c r="K42" s="509">
        <v>72.94</v>
      </c>
    </row>
    <row r="43" spans="1:11" x14ac:dyDescent="0.35">
      <c r="A43" s="16" t="s">
        <v>191</v>
      </c>
      <c r="B43" s="1">
        <v>9806</v>
      </c>
      <c r="G43" s="32" t="s">
        <v>29</v>
      </c>
      <c r="H43" s="32" t="s">
        <v>121</v>
      </c>
      <c r="I43" s="509">
        <v>12872.51</v>
      </c>
      <c r="J43" s="32">
        <v>175</v>
      </c>
      <c r="K43" s="509">
        <v>80.739999999999995</v>
      </c>
    </row>
    <row r="44" spans="1:11" x14ac:dyDescent="0.35">
      <c r="A44" s="16" t="s">
        <v>69</v>
      </c>
      <c r="B44" s="1">
        <v>6345</v>
      </c>
      <c r="G44" s="32" t="s">
        <v>29</v>
      </c>
      <c r="H44" s="32" t="s">
        <v>122</v>
      </c>
      <c r="I44" s="509">
        <v>11516.01</v>
      </c>
      <c r="J44" s="32">
        <v>251.00299999999999</v>
      </c>
      <c r="K44" s="509">
        <v>45.03</v>
      </c>
    </row>
    <row r="45" spans="1:11" x14ac:dyDescent="0.35">
      <c r="A45" s="16" t="s">
        <v>70</v>
      </c>
      <c r="B45" s="1">
        <v>11072</v>
      </c>
      <c r="G45" s="32" t="s">
        <v>29</v>
      </c>
      <c r="H45" s="32" t="s">
        <v>35</v>
      </c>
      <c r="I45" s="509">
        <v>72834.11</v>
      </c>
      <c r="J45" s="32">
        <v>7942.652</v>
      </c>
      <c r="K45" s="509">
        <v>9.7200000000000006</v>
      </c>
    </row>
    <row r="46" spans="1:11" x14ac:dyDescent="0.35">
      <c r="A46" s="16" t="s">
        <v>71</v>
      </c>
      <c r="B46" s="1">
        <v>12444</v>
      </c>
      <c r="G46" s="32" t="s">
        <v>29</v>
      </c>
      <c r="H46" s="32" t="s">
        <v>124</v>
      </c>
      <c r="I46" s="509">
        <v>81639.25</v>
      </c>
      <c r="J46" s="32">
        <v>8288.2489999999998</v>
      </c>
      <c r="K46" s="509">
        <v>9.65</v>
      </c>
    </row>
    <row r="47" spans="1:11" x14ac:dyDescent="0.35">
      <c r="A47" s="26" t="s">
        <v>72</v>
      </c>
      <c r="B47" s="1"/>
      <c r="G47" s="32" t="s">
        <v>29</v>
      </c>
      <c r="H47" s="32" t="s">
        <v>125</v>
      </c>
      <c r="I47" s="509">
        <v>10110.65</v>
      </c>
      <c r="J47" s="32">
        <v>200</v>
      </c>
      <c r="K47" s="509">
        <v>50.5</v>
      </c>
    </row>
    <row r="48" spans="1:11" x14ac:dyDescent="0.35">
      <c r="A48" s="26" t="s">
        <v>73</v>
      </c>
      <c r="B48" s="1"/>
      <c r="G48" s="32" t="s">
        <v>29</v>
      </c>
      <c r="H48" s="32" t="s">
        <v>126</v>
      </c>
      <c r="I48" s="509">
        <v>15165.34</v>
      </c>
      <c r="J48" s="32">
        <v>300</v>
      </c>
      <c r="K48" s="509">
        <v>50.75</v>
      </c>
    </row>
    <row r="49" spans="1:11" x14ac:dyDescent="0.35">
      <c r="A49" s="26" t="s">
        <v>74</v>
      </c>
      <c r="B49" s="1"/>
      <c r="G49" s="32" t="s">
        <v>29</v>
      </c>
      <c r="H49" s="32" t="s">
        <v>127</v>
      </c>
      <c r="I49" s="509">
        <v>18802.330000000002</v>
      </c>
      <c r="J49" s="32">
        <v>200</v>
      </c>
      <c r="K49" s="509">
        <v>108.25</v>
      </c>
    </row>
    <row r="50" spans="1:11" x14ac:dyDescent="0.35">
      <c r="A50" s="544" t="s">
        <v>75</v>
      </c>
      <c r="B50" s="1">
        <v>3428</v>
      </c>
      <c r="G50" s="32" t="s">
        <v>29</v>
      </c>
      <c r="H50" s="32" t="s">
        <v>128</v>
      </c>
      <c r="I50" s="509">
        <v>14604.12</v>
      </c>
      <c r="J50" s="32">
        <v>600</v>
      </c>
      <c r="K50" s="509">
        <v>25.65</v>
      </c>
    </row>
    <row r="51" spans="1:11" x14ac:dyDescent="0.35">
      <c r="A51" s="16" t="s">
        <v>76</v>
      </c>
      <c r="B51" s="1">
        <v>8850</v>
      </c>
      <c r="G51" s="32" t="s">
        <v>29</v>
      </c>
      <c r="H51" s="32" t="s">
        <v>129</v>
      </c>
      <c r="I51" s="509">
        <v>9406.56</v>
      </c>
      <c r="J51" s="32">
        <v>300</v>
      </c>
      <c r="K51" s="509">
        <v>35.56</v>
      </c>
    </row>
    <row r="52" spans="1:11" x14ac:dyDescent="0.35">
      <c r="A52" s="26" t="s">
        <v>77</v>
      </c>
      <c r="B52" s="1"/>
      <c r="G52" s="32" t="s">
        <v>29</v>
      </c>
      <c r="H52" s="32" t="s">
        <v>130</v>
      </c>
      <c r="I52" s="509">
        <v>20048.8</v>
      </c>
      <c r="J52" s="32">
        <v>800</v>
      </c>
      <c r="K52" s="509">
        <v>28.33</v>
      </c>
    </row>
    <row r="53" spans="1:11" x14ac:dyDescent="0.35">
      <c r="A53" s="26" t="s">
        <v>78</v>
      </c>
      <c r="B53" s="1"/>
      <c r="G53" s="32" t="s">
        <v>29</v>
      </c>
      <c r="H53" s="32" t="s">
        <v>131</v>
      </c>
      <c r="I53" s="509">
        <v>15516.07</v>
      </c>
      <c r="J53" s="32">
        <v>150</v>
      </c>
      <c r="K53" s="509">
        <v>106.59</v>
      </c>
    </row>
    <row r="54" spans="1:11" x14ac:dyDescent="0.35">
      <c r="A54" s="26" t="s">
        <v>37</v>
      </c>
      <c r="B54" s="1"/>
      <c r="G54" s="32" t="s">
        <v>29</v>
      </c>
      <c r="H54" s="32" t="s">
        <v>132</v>
      </c>
      <c r="I54" s="509">
        <v>16618.419999999998</v>
      </c>
      <c r="J54" s="32">
        <v>200</v>
      </c>
      <c r="K54" s="509">
        <v>94.28</v>
      </c>
    </row>
    <row r="55" spans="1:11" x14ac:dyDescent="0.35">
      <c r="A55" s="26" t="s">
        <v>37</v>
      </c>
      <c r="B55" s="1"/>
      <c r="G55" s="32" t="s">
        <v>29</v>
      </c>
      <c r="H55" s="32" t="s">
        <v>133</v>
      </c>
      <c r="I55" s="509">
        <v>9396.92</v>
      </c>
      <c r="J55" s="32">
        <v>125</v>
      </c>
      <c r="K55" s="509">
        <v>86.16</v>
      </c>
    </row>
    <row r="56" spans="1:11" x14ac:dyDescent="0.35">
      <c r="A56" s="544" t="s">
        <v>79</v>
      </c>
      <c r="B56" s="1">
        <v>110000</v>
      </c>
      <c r="G56" s="32" t="s">
        <v>29</v>
      </c>
      <c r="H56" s="32" t="s">
        <v>134</v>
      </c>
      <c r="I56" s="509">
        <v>7750.07</v>
      </c>
      <c r="J56" s="32">
        <v>100</v>
      </c>
      <c r="K56" s="509">
        <v>76.22</v>
      </c>
    </row>
    <row r="57" spans="1:11" x14ac:dyDescent="0.35">
      <c r="A57" s="544" t="s">
        <v>80</v>
      </c>
      <c r="B57" s="1">
        <v>270000</v>
      </c>
      <c r="G57" s="32" t="s">
        <v>29</v>
      </c>
      <c r="H57" s="32" t="s">
        <v>135</v>
      </c>
      <c r="I57" s="509">
        <v>13926.48</v>
      </c>
      <c r="J57" s="32">
        <v>175</v>
      </c>
      <c r="K57" s="509">
        <v>82.8</v>
      </c>
    </row>
    <row r="58" spans="1:11" x14ac:dyDescent="0.35">
      <c r="A58" s="424" t="s">
        <v>38</v>
      </c>
      <c r="B58" s="1">
        <v>5374</v>
      </c>
      <c r="G58" s="32" t="s">
        <v>8</v>
      </c>
      <c r="H58" s="32" t="s">
        <v>33</v>
      </c>
      <c r="I58" s="509">
        <v>1163.93</v>
      </c>
    </row>
    <row r="59" spans="1:11" x14ac:dyDescent="0.35">
      <c r="A59" s="16" t="s">
        <v>81</v>
      </c>
      <c r="B59" s="1">
        <v>13983</v>
      </c>
      <c r="G59" s="32" t="s">
        <v>8</v>
      </c>
      <c r="H59" s="32" t="s">
        <v>138</v>
      </c>
      <c r="I59" s="509">
        <v>13093.22</v>
      </c>
      <c r="J59" s="32">
        <v>245</v>
      </c>
      <c r="K59" s="509">
        <v>59.88</v>
      </c>
    </row>
    <row r="60" spans="1:11" x14ac:dyDescent="0.35">
      <c r="A60" s="16" t="s">
        <v>82</v>
      </c>
      <c r="B60" s="1">
        <v>9307</v>
      </c>
      <c r="G60" s="32" t="s">
        <v>8</v>
      </c>
      <c r="H60" s="32" t="s">
        <v>139</v>
      </c>
      <c r="I60" s="509">
        <v>12668.46</v>
      </c>
      <c r="J60" s="32">
        <v>240</v>
      </c>
      <c r="K60" s="509">
        <v>54.87</v>
      </c>
    </row>
    <row r="61" spans="1:11" x14ac:dyDescent="0.35">
      <c r="A61" s="544" t="s">
        <v>83</v>
      </c>
      <c r="B61" s="1">
        <v>6369</v>
      </c>
      <c r="G61" s="32" t="s">
        <v>732</v>
      </c>
      <c r="H61" s="32" t="s">
        <v>58</v>
      </c>
      <c r="I61" s="509">
        <v>163.43</v>
      </c>
    </row>
    <row r="62" spans="1:11" x14ac:dyDescent="0.35">
      <c r="A62" s="26" t="s">
        <v>84</v>
      </c>
      <c r="B62" s="1"/>
      <c r="G62" s="32" t="s">
        <v>732</v>
      </c>
      <c r="H62" s="32" t="s">
        <v>733</v>
      </c>
      <c r="I62" s="509">
        <v>29.5</v>
      </c>
    </row>
    <row r="63" spans="1:11" x14ac:dyDescent="0.35">
      <c r="A63" s="16" t="s">
        <v>85</v>
      </c>
      <c r="B63" s="1">
        <v>24256</v>
      </c>
      <c r="G63" s="32" t="s">
        <v>734</v>
      </c>
      <c r="H63" s="32" t="s">
        <v>58</v>
      </c>
      <c r="I63" s="509">
        <v>10.29</v>
      </c>
    </row>
    <row r="64" spans="1:11" x14ac:dyDescent="0.35">
      <c r="A64" s="16" t="s">
        <v>86</v>
      </c>
      <c r="B64" s="1">
        <v>17897</v>
      </c>
      <c r="G64" s="32" t="s">
        <v>735</v>
      </c>
      <c r="H64" s="510" t="s">
        <v>736</v>
      </c>
      <c r="I64" s="511">
        <v>10.94</v>
      </c>
    </row>
    <row r="65" spans="1:9" x14ac:dyDescent="0.35">
      <c r="A65" s="26" t="s">
        <v>87</v>
      </c>
      <c r="B65" s="1"/>
      <c r="H65" s="510" t="s">
        <v>143</v>
      </c>
      <c r="I65" s="511">
        <v>1569306.1500000004</v>
      </c>
    </row>
    <row r="66" spans="1:9" x14ac:dyDescent="0.35">
      <c r="A66" s="26" t="s">
        <v>88</v>
      </c>
      <c r="B66" s="1"/>
      <c r="H66"/>
      <c r="I66" s="508"/>
    </row>
    <row r="67" spans="1:9" x14ac:dyDescent="0.35">
      <c r="A67" s="16" t="s">
        <v>89</v>
      </c>
      <c r="B67" s="1">
        <v>19035</v>
      </c>
      <c r="G67" s="32" t="s">
        <v>29</v>
      </c>
      <c r="H67" s="32" t="s">
        <v>33</v>
      </c>
      <c r="I67" s="32">
        <v>0</v>
      </c>
    </row>
    <row r="68" spans="1:9" x14ac:dyDescent="0.35">
      <c r="A68" s="432" t="s">
        <v>41</v>
      </c>
      <c r="B68" s="1">
        <v>1141</v>
      </c>
    </row>
    <row r="69" spans="1:9" x14ac:dyDescent="0.35">
      <c r="A69" s="16" t="s">
        <v>90</v>
      </c>
      <c r="B69" s="1">
        <v>21738</v>
      </c>
    </row>
    <row r="70" spans="1:9" x14ac:dyDescent="0.35">
      <c r="A70" s="26" t="s">
        <v>91</v>
      </c>
      <c r="B70" s="1"/>
    </row>
    <row r="71" spans="1:9" x14ac:dyDescent="0.35">
      <c r="A71" s="544" t="s">
        <v>211</v>
      </c>
      <c r="B71" s="1">
        <v>10952</v>
      </c>
    </row>
    <row r="72" spans="1:9" x14ac:dyDescent="0.35">
      <c r="A72" s="16" t="s">
        <v>93</v>
      </c>
      <c r="B72" s="1">
        <v>15000</v>
      </c>
    </row>
    <row r="73" spans="1:9" x14ac:dyDescent="0.35">
      <c r="A73" s="26" t="s">
        <v>94</v>
      </c>
      <c r="B73" s="1"/>
    </row>
    <row r="74" spans="1:9" x14ac:dyDescent="0.35">
      <c r="A74" s="26" t="s">
        <v>737</v>
      </c>
      <c r="B74" s="1"/>
    </row>
    <row r="75" spans="1:9" x14ac:dyDescent="0.35">
      <c r="A75" s="26" t="s">
        <v>95</v>
      </c>
      <c r="B75" s="1"/>
    </row>
    <row r="76" spans="1:9" x14ac:dyDescent="0.35">
      <c r="A76" s="26" t="s">
        <v>96</v>
      </c>
      <c r="B76" s="1"/>
    </row>
    <row r="77" spans="1:9" x14ac:dyDescent="0.35">
      <c r="A77" s="544" t="s">
        <v>260</v>
      </c>
      <c r="B77" s="1">
        <v>5414</v>
      </c>
    </row>
    <row r="78" spans="1:9" x14ac:dyDescent="0.35">
      <c r="A78" s="544" t="s">
        <v>228</v>
      </c>
      <c r="B78" s="1">
        <v>6349</v>
      </c>
    </row>
    <row r="79" spans="1:9" x14ac:dyDescent="0.35">
      <c r="A79" s="16" t="s">
        <v>99</v>
      </c>
      <c r="B79" s="1">
        <v>23134</v>
      </c>
    </row>
    <row r="80" spans="1:9" ht="22" x14ac:dyDescent="0.35">
      <c r="A80" s="26" t="s">
        <v>100</v>
      </c>
      <c r="B80" s="1"/>
    </row>
    <row r="81" spans="1:2" x14ac:dyDescent="0.35">
      <c r="A81" s="26" t="s">
        <v>101</v>
      </c>
      <c r="B81" s="1"/>
    </row>
    <row r="82" spans="1:2" x14ac:dyDescent="0.35">
      <c r="A82" s="26" t="s">
        <v>46</v>
      </c>
      <c r="B82" s="1"/>
    </row>
    <row r="83" spans="1:2" x14ac:dyDescent="0.35">
      <c r="A83" s="26" t="s">
        <v>102</v>
      </c>
      <c r="B83" s="1"/>
    </row>
    <row r="84" spans="1:2" x14ac:dyDescent="0.35">
      <c r="A84" s="26" t="s">
        <v>103</v>
      </c>
      <c r="B84" s="1"/>
    </row>
    <row r="85" spans="1:2" x14ac:dyDescent="0.35">
      <c r="A85" s="544" t="s">
        <v>104</v>
      </c>
      <c r="B85" s="1">
        <v>23558</v>
      </c>
    </row>
    <row r="86" spans="1:2" x14ac:dyDescent="0.35">
      <c r="A86" s="544" t="s">
        <v>232</v>
      </c>
      <c r="B86" s="1">
        <v>27302</v>
      </c>
    </row>
    <row r="87" spans="1:2" x14ac:dyDescent="0.35">
      <c r="A87" s="16" t="s">
        <v>106</v>
      </c>
      <c r="B87" s="1">
        <v>8077</v>
      </c>
    </row>
    <row r="88" spans="1:2" x14ac:dyDescent="0.35">
      <c r="A88" s="15" t="s">
        <v>107</v>
      </c>
      <c r="B88" s="1"/>
    </row>
    <row r="89" spans="1:2" x14ac:dyDescent="0.35">
      <c r="A89" s="15" t="s">
        <v>108</v>
      </c>
      <c r="B89" s="1"/>
    </row>
    <row r="90" spans="1:2" x14ac:dyDescent="0.35">
      <c r="A90" s="15" t="s">
        <v>109</v>
      </c>
      <c r="B90" s="1"/>
    </row>
    <row r="91" spans="1:2" x14ac:dyDescent="0.35">
      <c r="A91" s="424" t="s">
        <v>49</v>
      </c>
      <c r="B91" s="1">
        <v>21979</v>
      </c>
    </row>
    <row r="92" spans="1:2" x14ac:dyDescent="0.35">
      <c r="A92" s="15" t="s">
        <v>110</v>
      </c>
      <c r="B92" s="1"/>
    </row>
    <row r="93" spans="1:2" x14ac:dyDescent="0.35">
      <c r="A93" s="16" t="s">
        <v>111</v>
      </c>
      <c r="B93" s="1">
        <v>13111</v>
      </c>
    </row>
    <row r="94" spans="1:2" x14ac:dyDescent="0.35">
      <c r="A94" s="15" t="s">
        <v>112</v>
      </c>
      <c r="B94" s="1"/>
    </row>
    <row r="95" spans="1:2" x14ac:dyDescent="0.35">
      <c r="A95" s="16" t="s">
        <v>113</v>
      </c>
      <c r="B95" s="1">
        <v>17634</v>
      </c>
    </row>
    <row r="96" spans="1:2" x14ac:dyDescent="0.35">
      <c r="A96" s="15" t="s">
        <v>114</v>
      </c>
      <c r="B96" s="1"/>
    </row>
    <row r="97" spans="1:2" x14ac:dyDescent="0.35">
      <c r="A97" s="16" t="s">
        <v>244</v>
      </c>
      <c r="B97" s="1">
        <v>7949</v>
      </c>
    </row>
    <row r="98" spans="1:2" x14ac:dyDescent="0.35">
      <c r="A98" s="16" t="s">
        <v>116</v>
      </c>
      <c r="B98" s="1">
        <v>19680</v>
      </c>
    </row>
    <row r="99" spans="1:2" x14ac:dyDescent="0.35">
      <c r="A99" s="16" t="s">
        <v>117</v>
      </c>
      <c r="B99" s="1">
        <v>26405</v>
      </c>
    </row>
    <row r="100" spans="1:2" x14ac:dyDescent="0.35">
      <c r="A100" s="15" t="s">
        <v>118</v>
      </c>
      <c r="B100" s="1"/>
    </row>
    <row r="101" spans="1:2" x14ac:dyDescent="0.35">
      <c r="A101" s="544"/>
      <c r="B101" s="32"/>
    </row>
    <row r="102" spans="1:2" ht="43.5" x14ac:dyDescent="0.35">
      <c r="A102" s="79" t="s">
        <v>56</v>
      </c>
      <c r="B102" s="77" t="e">
        <f>IF(B$3="","",(B103-A103)/A103)</f>
        <v>#VALUE!</v>
      </c>
    </row>
    <row r="103" spans="1:2" x14ac:dyDescent="0.35">
      <c r="A103" s="544" t="s">
        <v>57</v>
      </c>
      <c r="B103" s="213">
        <f>IF(B3="","",SUM(B33:B101))</f>
        <v>886430</v>
      </c>
    </row>
    <row r="104" spans="1:2" x14ac:dyDescent="0.35">
      <c r="A104" s="14"/>
      <c r="B104" s="216"/>
    </row>
    <row r="105" spans="1:2" x14ac:dyDescent="0.35">
      <c r="A105" s="544" t="s">
        <v>32</v>
      </c>
      <c r="B105" s="32"/>
    </row>
    <row r="106" spans="1:2" ht="43.5" x14ac:dyDescent="0.35">
      <c r="A106" s="544" t="s">
        <v>738</v>
      </c>
      <c r="B106" s="32"/>
    </row>
    <row r="107" spans="1:2" x14ac:dyDescent="0.35">
      <c r="A107" s="16" t="s">
        <v>119</v>
      </c>
      <c r="B107" s="1">
        <v>16310</v>
      </c>
    </row>
    <row r="108" spans="1:2" x14ac:dyDescent="0.35">
      <c r="A108" s="544" t="s">
        <v>120</v>
      </c>
      <c r="B108" s="1">
        <v>11573</v>
      </c>
    </row>
    <row r="109" spans="1:2" x14ac:dyDescent="0.35">
      <c r="A109" s="544" t="s">
        <v>121</v>
      </c>
      <c r="B109" s="1">
        <v>12840</v>
      </c>
    </row>
    <row r="110" spans="1:2" x14ac:dyDescent="0.35">
      <c r="A110" s="544" t="s">
        <v>122</v>
      </c>
      <c r="B110" s="1">
        <v>11433</v>
      </c>
    </row>
    <row r="111" spans="1:2" x14ac:dyDescent="0.35">
      <c r="A111" s="424" t="s">
        <v>35</v>
      </c>
      <c r="B111" s="1">
        <v>72353</v>
      </c>
    </row>
    <row r="112" spans="1:2" x14ac:dyDescent="0.35">
      <c r="A112" s="544" t="s">
        <v>123</v>
      </c>
      <c r="B112" s="32"/>
    </row>
    <row r="113" spans="1:2" x14ac:dyDescent="0.35">
      <c r="A113" s="544" t="s">
        <v>124</v>
      </c>
      <c r="B113" s="1">
        <v>80747</v>
      </c>
    </row>
    <row r="114" spans="1:2" x14ac:dyDescent="0.35">
      <c r="A114" s="544" t="s">
        <v>125</v>
      </c>
      <c r="B114" s="1">
        <v>10133</v>
      </c>
    </row>
    <row r="115" spans="1:2" x14ac:dyDescent="0.35">
      <c r="A115" s="544" t="s">
        <v>126</v>
      </c>
      <c r="B115" s="1">
        <v>15192</v>
      </c>
    </row>
    <row r="116" spans="1:2" x14ac:dyDescent="0.35">
      <c r="A116" s="544" t="s">
        <v>127</v>
      </c>
      <c r="B116" s="1">
        <v>18700</v>
      </c>
    </row>
    <row r="117" spans="1:2" x14ac:dyDescent="0.35">
      <c r="A117" s="544" t="s">
        <v>128</v>
      </c>
      <c r="B117" s="1">
        <v>14592</v>
      </c>
    </row>
    <row r="118" spans="1:2" x14ac:dyDescent="0.35">
      <c r="A118" s="544" t="s">
        <v>129</v>
      </c>
      <c r="B118" s="1">
        <v>9399</v>
      </c>
    </row>
    <row r="119" spans="1:2" x14ac:dyDescent="0.35">
      <c r="A119" s="544" t="s">
        <v>130</v>
      </c>
      <c r="B119" s="1">
        <v>19936</v>
      </c>
    </row>
    <row r="120" spans="1:2" x14ac:dyDescent="0.35">
      <c r="A120" s="544" t="s">
        <v>131</v>
      </c>
      <c r="B120" s="1">
        <v>15474</v>
      </c>
    </row>
    <row r="121" spans="1:2" x14ac:dyDescent="0.35">
      <c r="A121" s="544" t="s">
        <v>132</v>
      </c>
      <c r="B121" s="1">
        <v>16572</v>
      </c>
    </row>
    <row r="122" spans="1:2" x14ac:dyDescent="0.35">
      <c r="A122" s="544" t="s">
        <v>133</v>
      </c>
      <c r="B122" s="1">
        <v>9425</v>
      </c>
    </row>
    <row r="123" spans="1:2" x14ac:dyDescent="0.35">
      <c r="A123" s="544" t="s">
        <v>134</v>
      </c>
      <c r="B123" s="1">
        <v>7737</v>
      </c>
    </row>
    <row r="124" spans="1:2" x14ac:dyDescent="0.35">
      <c r="A124" s="544" t="s">
        <v>135</v>
      </c>
      <c r="B124" s="1">
        <v>13913</v>
      </c>
    </row>
    <row r="125" spans="1:2" x14ac:dyDescent="0.35">
      <c r="A125" s="544"/>
      <c r="B125" s="32"/>
    </row>
    <row r="126" spans="1:2" x14ac:dyDescent="0.35">
      <c r="A126" s="544"/>
      <c r="B126" s="32"/>
    </row>
    <row r="127" spans="1:2" x14ac:dyDescent="0.35">
      <c r="A127" s="544"/>
      <c r="B127" s="32"/>
    </row>
    <row r="128" spans="1:2" x14ac:dyDescent="0.35">
      <c r="A128" s="544"/>
      <c r="B128" s="32"/>
    </row>
    <row r="129" spans="1:2" x14ac:dyDescent="0.35">
      <c r="A129" s="544"/>
      <c r="B129" s="32"/>
    </row>
    <row r="130" spans="1:2" x14ac:dyDescent="0.35">
      <c r="A130" s="544"/>
      <c r="B130" s="32"/>
    </row>
    <row r="131" spans="1:2" x14ac:dyDescent="0.35">
      <c r="A131" s="544"/>
      <c r="B131" s="32"/>
    </row>
    <row r="132" spans="1:2" x14ac:dyDescent="0.35">
      <c r="A132" s="544"/>
      <c r="B132" s="32"/>
    </row>
    <row r="133" spans="1:2" x14ac:dyDescent="0.35">
      <c r="A133" s="544"/>
      <c r="B133" s="32"/>
    </row>
    <row r="134" spans="1:2" x14ac:dyDescent="0.35">
      <c r="A134" s="544"/>
      <c r="B134" s="32"/>
    </row>
    <row r="135" spans="1:2" x14ac:dyDescent="0.35">
      <c r="A135" s="544"/>
      <c r="B135" s="32"/>
    </row>
    <row r="136" spans="1:2" x14ac:dyDescent="0.35">
      <c r="A136" s="14"/>
      <c r="B136" s="216"/>
    </row>
    <row r="137" spans="1:2" x14ac:dyDescent="0.35">
      <c r="A137" s="544" t="s">
        <v>32</v>
      </c>
    </row>
    <row r="138" spans="1:2" x14ac:dyDescent="0.35">
      <c r="A138" s="544" t="s">
        <v>617</v>
      </c>
      <c r="B138" s="4">
        <v>1162.67</v>
      </c>
    </row>
    <row r="139" spans="1:2" x14ac:dyDescent="0.35">
      <c r="A139" s="26" t="s">
        <v>136</v>
      </c>
    </row>
    <row r="140" spans="1:2" x14ac:dyDescent="0.35">
      <c r="A140" s="26" t="s">
        <v>137</v>
      </c>
    </row>
    <row r="141" spans="1:2" x14ac:dyDescent="0.35">
      <c r="A141" s="26" t="s">
        <v>78</v>
      </c>
    </row>
    <row r="142" spans="1:2" x14ac:dyDescent="0.35">
      <c r="A142" s="26" t="s">
        <v>48</v>
      </c>
    </row>
    <row r="143" spans="1:2" x14ac:dyDescent="0.35">
      <c r="A143" s="544" t="s">
        <v>138</v>
      </c>
      <c r="B143" s="4">
        <v>13121</v>
      </c>
    </row>
    <row r="144" spans="1:2" x14ac:dyDescent="0.35">
      <c r="A144" s="16" t="s">
        <v>139</v>
      </c>
      <c r="B144" s="4">
        <v>12695</v>
      </c>
    </row>
    <row r="145" spans="1:2" x14ac:dyDescent="0.35">
      <c r="A145" s="26" t="s">
        <v>140</v>
      </c>
    </row>
    <row r="146" spans="1:2" x14ac:dyDescent="0.35">
      <c r="A146" s="26"/>
    </row>
    <row r="147" spans="1:2" ht="43.5" x14ac:dyDescent="0.35">
      <c r="A147" s="79" t="s">
        <v>56</v>
      </c>
    </row>
    <row r="148" spans="1:2" x14ac:dyDescent="0.35">
      <c r="A148" s="13" t="s">
        <v>57</v>
      </c>
    </row>
    <row r="149" spans="1:2" x14ac:dyDescent="0.35">
      <c r="A149" s="14"/>
      <c r="B149" s="216"/>
    </row>
    <row r="150" spans="1:2" x14ac:dyDescent="0.35">
      <c r="A150" s="1" t="s">
        <v>1</v>
      </c>
      <c r="B150" s="1" t="s">
        <v>1</v>
      </c>
    </row>
  </sheetData>
  <mergeCells count="61">
    <mergeCell ref="G1:M1"/>
    <mergeCell ref="HI2:HJ2"/>
    <mergeCell ref="FQ2:FR2"/>
    <mergeCell ref="FU2:FV2"/>
    <mergeCell ref="FY2:FZ2"/>
    <mergeCell ref="GC2:GD2"/>
    <mergeCell ref="GO2:GP2"/>
    <mergeCell ref="GS2:GT2"/>
    <mergeCell ref="GW2:GX2"/>
    <mergeCell ref="GG2:GH2"/>
    <mergeCell ref="GK2:GL2"/>
    <mergeCell ref="DQ2:DR2"/>
    <mergeCell ref="BY2:BZ2"/>
    <mergeCell ref="CC2:CD2"/>
    <mergeCell ref="CG2:CH2"/>
    <mergeCell ref="CK2:CL2"/>
    <mergeCell ref="IK2:IL2"/>
    <mergeCell ref="IO2:IP2"/>
    <mergeCell ref="IS2:IT2"/>
    <mergeCell ref="HM2:HN2"/>
    <mergeCell ref="HQ2:HR2"/>
    <mergeCell ref="HU2:HV2"/>
    <mergeCell ref="HY2:HZ2"/>
    <mergeCell ref="IC2:ID2"/>
    <mergeCell ref="IG2:IH2"/>
    <mergeCell ref="A1:F1"/>
    <mergeCell ref="HA2:HB2"/>
    <mergeCell ref="HE2:HF2"/>
    <mergeCell ref="FM2:FN2"/>
    <mergeCell ref="DU2:DV2"/>
    <mergeCell ref="DY2:DZ2"/>
    <mergeCell ref="EC2:ED2"/>
    <mergeCell ref="EG2:EH2"/>
    <mergeCell ref="EK2:EL2"/>
    <mergeCell ref="EO2:EP2"/>
    <mergeCell ref="ES2:ET2"/>
    <mergeCell ref="EW2:EX2"/>
    <mergeCell ref="FA2:FB2"/>
    <mergeCell ref="FE2:FF2"/>
    <mergeCell ref="FI2:FJ2"/>
    <mergeCell ref="AS2:AT2"/>
    <mergeCell ref="DI2:DJ2"/>
    <mergeCell ref="DM2:DN2"/>
    <mergeCell ref="BU2:BV2"/>
    <mergeCell ref="AW2:AX2"/>
    <mergeCell ref="BA2:BB2"/>
    <mergeCell ref="BE2:BF2"/>
    <mergeCell ref="BI2:BJ2"/>
    <mergeCell ref="CO2:CP2"/>
    <mergeCell ref="CS2:CT2"/>
    <mergeCell ref="CW2:CX2"/>
    <mergeCell ref="DA2:DB2"/>
    <mergeCell ref="DE2:DF2"/>
    <mergeCell ref="U2:V2"/>
    <mergeCell ref="Y2:Z2"/>
    <mergeCell ref="AC2:AD2"/>
    <mergeCell ref="BM2:BN2"/>
    <mergeCell ref="BQ2:BR2"/>
    <mergeCell ref="AG2:AH2"/>
    <mergeCell ref="AK2:AL2"/>
    <mergeCell ref="AO2:AP2"/>
  </mergeCells>
  <conditionalFormatting sqref="A2">
    <cfRule type="cellIs" dxfId="14" priority="9" operator="equal">
      <formula>0</formula>
    </cfRule>
  </conditionalFormatting>
  <conditionalFormatting sqref="S2:U2 W2:Y2 AA2:AC2 AE2:AG2 AI2:AK2 AM2:AO2 AQ2:AS2 AU2:AW2 AY2:BA2 BC2:BE2 BG2:BI2 BK2:BM2 BO2:BQ2 BS2:BU2 BW2:BY2 CA2:CC2 CE2:CG2 CI2:CK2 CM2:CO2 CQ2:CS2 CU2:CW2 CY2:DA2 DC2:DE2 DG2:DI2 DK2:DM2 DO2:DQ2 DS2:DU2 DW2:DY2 EA2:EC2 EE2:EG2 EI2:EK2 EM2:EO2 EQ2:ES2 EU2:EW2 EY2:FA2 FC2:FE2 FG2:FI2 FK2:FM2 FO2:FQ2 FS2:FU2 FW2:FY2 GA2:GC2 GE2:GG2 GI2:GK2 GM2:GO2 GQ2:GS2 GU2:GW2 GY2:HA2 HC2:HE2 HG2:HI2 HK2:HM2 HO2:HQ2 HS2:HU2 HW2:HY2 IA2:IC2 IE2:IG2 II2:IK2 IM2:IO2 IQ2:IS2 IU2:IV2 C2:F3 IW2:XFD3 S3:IV3">
    <cfRule type="cellIs" dxfId="13" priority="13" operator="equal">
      <formula>0</formula>
    </cfRule>
  </conditionalFormatting>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13AF7-BCEB-4DB2-B7E5-D6BB9E4670F5}">
  <dimension ref="A1:AP8"/>
  <sheetViews>
    <sheetView topLeftCell="P1" workbookViewId="0">
      <selection activeCell="AF4" sqref="AF4"/>
    </sheetView>
  </sheetViews>
  <sheetFormatPr defaultRowHeight="14.5" x14ac:dyDescent="0.35"/>
  <cols>
    <col min="1" max="1" width="13.81640625" customWidth="1"/>
  </cols>
  <sheetData>
    <row r="1" spans="1:42" ht="23.5" x14ac:dyDescent="0.55000000000000004">
      <c r="A1" s="655" t="s">
        <v>739</v>
      </c>
      <c r="B1" s="655"/>
      <c r="C1" s="655"/>
      <c r="D1" s="655"/>
      <c r="E1" s="655"/>
      <c r="F1" s="655"/>
      <c r="G1" s="655"/>
      <c r="H1" s="655"/>
      <c r="I1" s="655"/>
      <c r="J1" s="655"/>
      <c r="K1" s="655"/>
      <c r="L1" s="655"/>
      <c r="M1" s="655"/>
      <c r="N1" s="655"/>
      <c r="O1" s="655"/>
      <c r="P1" s="655"/>
      <c r="Q1" s="655"/>
      <c r="R1" s="655"/>
      <c r="S1" s="655"/>
      <c r="T1" s="655"/>
      <c r="U1" s="655"/>
      <c r="V1" s="655"/>
      <c r="W1" s="655"/>
      <c r="X1" s="655"/>
      <c r="Y1" s="655"/>
      <c r="Z1" s="655"/>
      <c r="AA1" s="655"/>
      <c r="AB1" s="655"/>
      <c r="AC1" s="655"/>
      <c r="AD1" s="655"/>
      <c r="AE1" s="655"/>
      <c r="AF1" s="655"/>
      <c r="AG1" s="655"/>
      <c r="AH1" s="655"/>
      <c r="AI1" s="655"/>
      <c r="AJ1" s="655"/>
      <c r="AK1" s="655"/>
    </row>
    <row r="2" spans="1:42" ht="43.5" x14ac:dyDescent="0.35">
      <c r="A2" s="328" t="s">
        <v>467</v>
      </c>
      <c r="B2" s="328" t="s">
        <v>468</v>
      </c>
      <c r="C2" s="328" t="s">
        <v>469</v>
      </c>
      <c r="D2" s="325" t="s">
        <v>470</v>
      </c>
      <c r="E2" s="323" t="s">
        <v>471</v>
      </c>
      <c r="F2" s="323" t="s">
        <v>472</v>
      </c>
      <c r="G2" s="323" t="s">
        <v>473</v>
      </c>
      <c r="H2" s="323"/>
      <c r="I2" s="323"/>
      <c r="J2" s="323"/>
      <c r="K2" s="323"/>
      <c r="L2" s="323"/>
      <c r="M2" s="323"/>
      <c r="N2" s="355" t="s">
        <v>740</v>
      </c>
      <c r="O2" s="325" t="s">
        <v>741</v>
      </c>
      <c r="P2" s="328" t="s">
        <v>474</v>
      </c>
      <c r="Q2" s="328" t="s">
        <v>475</v>
      </c>
      <c r="R2" s="356" t="s">
        <v>476</v>
      </c>
      <c r="S2" s="356" t="s">
        <v>484</v>
      </c>
      <c r="T2" s="329">
        <v>45527</v>
      </c>
      <c r="U2" s="329">
        <v>45711</v>
      </c>
      <c r="V2" s="329">
        <v>45861</v>
      </c>
      <c r="W2" s="329">
        <v>45895</v>
      </c>
      <c r="X2" s="325" t="s">
        <v>481</v>
      </c>
      <c r="Y2" s="325" t="s">
        <v>482</v>
      </c>
      <c r="Z2" s="325" t="s">
        <v>483</v>
      </c>
      <c r="AA2" s="322" t="s">
        <v>485</v>
      </c>
      <c r="AB2" s="328" t="s">
        <v>486</v>
      </c>
      <c r="AC2" s="357" t="s">
        <v>487</v>
      </c>
      <c r="AD2" s="357" t="s">
        <v>488</v>
      </c>
      <c r="AE2" s="357" t="s">
        <v>489</v>
      </c>
      <c r="AF2" s="358" t="s">
        <v>281</v>
      </c>
      <c r="AG2" s="390"/>
      <c r="AH2" s="390"/>
      <c r="AI2" s="390"/>
      <c r="AJ2" s="325" t="s">
        <v>490</v>
      </c>
      <c r="AK2" s="359" t="s">
        <v>290</v>
      </c>
    </row>
    <row r="3" spans="1:42" x14ac:dyDescent="0.35">
      <c r="A3" s="309" t="s">
        <v>28</v>
      </c>
      <c r="B3" s="309" t="s">
        <v>496</v>
      </c>
      <c r="C3" s="368" t="s">
        <v>63</v>
      </c>
      <c r="D3" s="309" t="s">
        <v>497</v>
      </c>
      <c r="E3" s="317" t="s">
        <v>742</v>
      </c>
      <c r="F3" s="317" t="s">
        <v>499</v>
      </c>
      <c r="G3" s="340" t="s">
        <v>500</v>
      </c>
      <c r="H3" s="317"/>
      <c r="I3" s="317"/>
      <c r="J3" s="317"/>
      <c r="K3" s="317"/>
      <c r="L3" s="317"/>
      <c r="M3" s="317"/>
      <c r="N3" s="363">
        <v>167.51</v>
      </c>
      <c r="O3" s="364">
        <v>0.3211</v>
      </c>
      <c r="P3" s="392" t="s">
        <v>501</v>
      </c>
      <c r="Q3" s="309" t="s">
        <v>516</v>
      </c>
      <c r="R3" s="362">
        <v>0</v>
      </c>
      <c r="S3" s="379"/>
      <c r="T3" s="361">
        <v>175</v>
      </c>
      <c r="U3" s="361">
        <v>215</v>
      </c>
      <c r="V3" s="361">
        <v>232.6</v>
      </c>
      <c r="W3" s="361">
        <v>227.92</v>
      </c>
      <c r="X3" s="299">
        <f>(W3-V3)/V3</f>
        <v>-2.0120378331900286E-2</v>
      </c>
      <c r="Y3" s="299">
        <f>(W3-U3)/U3</f>
        <v>6.0093023255813893E-2</v>
      </c>
      <c r="Z3" s="299">
        <f>(W3-T3)/T3</f>
        <v>0.30239999999999995</v>
      </c>
      <c r="AA3" s="365">
        <v>47</v>
      </c>
      <c r="AB3" s="391" t="s">
        <v>540</v>
      </c>
      <c r="AC3" s="362" t="s">
        <v>504</v>
      </c>
      <c r="AD3" s="362" t="s">
        <v>505</v>
      </c>
      <c r="AE3" s="362" t="s">
        <v>505</v>
      </c>
      <c r="AF3" s="321">
        <f>_xlfn.XLOOKUP($C3,Downloads!A$2:A$501,Downloads!B$2:B$501)</f>
        <v>17756</v>
      </c>
      <c r="AG3" s="302"/>
      <c r="AH3" s="302"/>
      <c r="AI3" s="302"/>
      <c r="AJ3" s="370" t="s">
        <v>510</v>
      </c>
      <c r="AK3" s="317"/>
    </row>
    <row r="4" spans="1:42" x14ac:dyDescent="0.35">
      <c r="A4" s="309" t="s">
        <v>28</v>
      </c>
      <c r="B4" s="309" t="s">
        <v>571</v>
      </c>
      <c r="C4" s="309" t="s">
        <v>49</v>
      </c>
      <c r="D4" s="309" t="s">
        <v>541</v>
      </c>
      <c r="E4" s="383" t="s">
        <v>586</v>
      </c>
      <c r="F4" s="383" t="s">
        <v>587</v>
      </c>
      <c r="G4" s="383" t="s">
        <v>588</v>
      </c>
      <c r="H4" s="383"/>
      <c r="I4" s="383"/>
      <c r="J4" s="383"/>
      <c r="K4" s="383"/>
      <c r="L4" s="383"/>
      <c r="M4" s="383"/>
      <c r="N4" s="363">
        <v>50.94</v>
      </c>
      <c r="O4" s="364">
        <v>0.1696</v>
      </c>
      <c r="P4" s="392" t="s">
        <v>501</v>
      </c>
      <c r="Q4" s="309" t="s">
        <v>502</v>
      </c>
      <c r="R4" s="362">
        <v>2.63E-2</v>
      </c>
      <c r="S4" s="362">
        <v>0.13819999999999999</v>
      </c>
      <c r="T4" s="361">
        <v>52.27</v>
      </c>
      <c r="U4" s="361">
        <v>51.77</v>
      </c>
      <c r="V4" s="361">
        <v>57.36</v>
      </c>
      <c r="W4" s="361">
        <v>58.72</v>
      </c>
      <c r="X4" s="299">
        <f t="shared" ref="X4" si="0">(W4-V4)/V4</f>
        <v>2.3709902370990226E-2</v>
      </c>
      <c r="Y4" s="299">
        <f t="shared" ref="Y4" si="1">(W4-U4)/U4</f>
        <v>0.13424763376472851</v>
      </c>
      <c r="Z4" s="299">
        <f t="shared" ref="Z4" si="2">(W4-T4)/T4</f>
        <v>0.12339774249091248</v>
      </c>
      <c r="AA4" s="381"/>
      <c r="AB4" s="379"/>
      <c r="AC4" s="362" t="s">
        <v>505</v>
      </c>
      <c r="AD4" s="362" t="s">
        <v>505</v>
      </c>
      <c r="AE4" s="362" t="s">
        <v>505</v>
      </c>
      <c r="AF4" s="321">
        <v>26375</v>
      </c>
      <c r="AG4" s="302"/>
      <c r="AH4" s="302"/>
      <c r="AI4" s="302"/>
      <c r="AJ4" s="370" t="s">
        <v>510</v>
      </c>
      <c r="AK4" s="317"/>
      <c r="AL4" s="321" t="e">
        <v>#REF!</v>
      </c>
      <c r="AM4" s="362" t="e">
        <f t="shared" ref="AM4" si="3">(AL4-AF4)/AF4</f>
        <v>#REF!</v>
      </c>
      <c r="AN4" s="361" t="e">
        <f t="shared" ref="AN4" si="4">(AM4)/AM$45</f>
        <v>#REF!</v>
      </c>
      <c r="AO4" s="310"/>
      <c r="AP4" s="310"/>
    </row>
    <row r="5" spans="1:42" x14ac:dyDescent="0.35">
      <c r="A5" s="309" t="s">
        <v>28</v>
      </c>
      <c r="B5" s="309" t="s">
        <v>496</v>
      </c>
      <c r="C5" s="309" t="s">
        <v>69</v>
      </c>
      <c r="D5" s="309" t="s">
        <v>497</v>
      </c>
      <c r="E5" s="317" t="s">
        <v>743</v>
      </c>
      <c r="F5" s="317" t="s">
        <v>532</v>
      </c>
      <c r="G5" s="340" t="s">
        <v>500</v>
      </c>
      <c r="H5" s="317"/>
      <c r="I5" s="317"/>
      <c r="J5" s="317"/>
      <c r="K5" s="317"/>
      <c r="L5" s="317"/>
      <c r="M5" s="317"/>
      <c r="N5" s="363">
        <v>47.5</v>
      </c>
      <c r="O5" s="364">
        <v>0.31369999999999998</v>
      </c>
      <c r="P5" s="392" t="s">
        <v>501</v>
      </c>
      <c r="Q5" s="309" t="s">
        <v>502</v>
      </c>
      <c r="R5" s="362">
        <v>2.1600000000000001E-2</v>
      </c>
      <c r="S5" s="379"/>
      <c r="T5" s="361">
        <v>40</v>
      </c>
      <c r="U5" s="361">
        <v>49</v>
      </c>
      <c r="V5" s="361">
        <v>63</v>
      </c>
      <c r="W5" s="361">
        <v>64.61</v>
      </c>
      <c r="X5" s="299">
        <f>(W5-V5)/V5</f>
        <v>2.5555555555555547E-2</v>
      </c>
      <c r="Y5" s="299">
        <f>(W5-U5)/U5</f>
        <v>0.31857142857142856</v>
      </c>
      <c r="Z5" s="299">
        <f>(W5-T5)/T5</f>
        <v>0.61524999999999996</v>
      </c>
      <c r="AA5" s="365">
        <v>38</v>
      </c>
      <c r="AB5" s="391" t="s">
        <v>540</v>
      </c>
      <c r="AC5" s="362" t="s">
        <v>504</v>
      </c>
      <c r="AD5" s="362" t="s">
        <v>505</v>
      </c>
      <c r="AE5" s="362" t="s">
        <v>505</v>
      </c>
      <c r="AF5" s="321">
        <v>6345</v>
      </c>
      <c r="AG5" s="302"/>
      <c r="AH5" s="302"/>
      <c r="AI5" s="302"/>
      <c r="AJ5" s="370" t="s">
        <v>510</v>
      </c>
      <c r="AK5" s="317"/>
    </row>
    <row r="6" spans="1:42" x14ac:dyDescent="0.35">
      <c r="A6" s="309" t="s">
        <v>27</v>
      </c>
      <c r="B6" s="309" t="s">
        <v>571</v>
      </c>
      <c r="C6" s="497" t="s">
        <v>39</v>
      </c>
      <c r="D6" s="497" t="s">
        <v>541</v>
      </c>
      <c r="E6" s="498" t="s">
        <v>744</v>
      </c>
      <c r="F6" s="317" t="s">
        <v>745</v>
      </c>
      <c r="G6" s="317" t="s">
        <v>746</v>
      </c>
      <c r="H6" s="317"/>
      <c r="I6" s="317"/>
      <c r="J6" s="317"/>
      <c r="K6" s="317"/>
      <c r="L6" s="317"/>
      <c r="M6" s="317"/>
      <c r="N6" s="363">
        <v>63.35</v>
      </c>
      <c r="O6" s="364">
        <v>0.32929999999999998</v>
      </c>
      <c r="P6" s="392" t="s">
        <v>501</v>
      </c>
      <c r="Q6" s="362" t="s">
        <v>577</v>
      </c>
      <c r="R6" s="362">
        <v>2.98E-2</v>
      </c>
      <c r="S6" s="362">
        <v>0.13189999999999999</v>
      </c>
      <c r="T6" s="361">
        <v>76.45</v>
      </c>
      <c r="U6" s="361">
        <v>76.22</v>
      </c>
      <c r="V6" s="361">
        <v>84.47</v>
      </c>
      <c r="W6" s="361">
        <v>86.12</v>
      </c>
      <c r="X6" s="299">
        <f t="shared" ref="X6:X8" si="5">(W6-V6)/V6</f>
        <v>1.9533562211436081E-2</v>
      </c>
      <c r="Y6" s="299">
        <f t="shared" ref="Y6:Y8" si="6">(W6-U6)/U6</f>
        <v>0.12988716872212025</v>
      </c>
      <c r="Z6" s="299">
        <f t="shared" ref="Z6:Z8" si="7">(W6-T6)/T6</f>
        <v>0.12648790058862003</v>
      </c>
      <c r="AA6" s="499"/>
      <c r="AB6" s="500"/>
      <c r="AC6" s="500"/>
      <c r="AD6" s="500"/>
      <c r="AE6" s="500"/>
      <c r="AF6" s="321">
        <v>25728</v>
      </c>
      <c r="AG6" s="302"/>
      <c r="AH6" s="302"/>
      <c r="AI6" s="302"/>
      <c r="AJ6" s="370" t="s">
        <v>510</v>
      </c>
      <c r="AK6" s="366"/>
    </row>
    <row r="7" spans="1:42" x14ac:dyDescent="0.35">
      <c r="A7" s="309" t="s">
        <v>28</v>
      </c>
      <c r="B7" s="309" t="s">
        <v>571</v>
      </c>
      <c r="C7" s="309" t="s">
        <v>232</v>
      </c>
      <c r="D7" s="309" t="s">
        <v>497</v>
      </c>
      <c r="E7" s="317" t="s">
        <v>747</v>
      </c>
      <c r="F7" s="317" t="s">
        <v>537</v>
      </c>
      <c r="G7" s="340" t="s">
        <v>500</v>
      </c>
      <c r="H7" s="317"/>
      <c r="I7" s="317"/>
      <c r="J7" s="317"/>
      <c r="K7" s="317"/>
      <c r="L7" s="317"/>
      <c r="M7" s="317"/>
      <c r="N7" s="363">
        <v>350.7</v>
      </c>
      <c r="O7" s="364">
        <v>-0.28039999999999998</v>
      </c>
      <c r="P7" s="501" t="s">
        <v>748</v>
      </c>
      <c r="Q7" s="309" t="s">
        <v>502</v>
      </c>
      <c r="R7" s="362">
        <v>2.9000000000000001E-2</v>
      </c>
      <c r="S7" s="379"/>
      <c r="T7" s="361">
        <v>589</v>
      </c>
      <c r="U7" s="361">
        <v>466</v>
      </c>
      <c r="V7" s="361">
        <v>298</v>
      </c>
      <c r="W7" s="361">
        <v>308</v>
      </c>
      <c r="X7" s="299">
        <f t="shared" si="5"/>
        <v>3.3557046979865772E-2</v>
      </c>
      <c r="Y7" s="299">
        <f t="shared" si="6"/>
        <v>-0.33905579399141633</v>
      </c>
      <c r="Z7" s="299">
        <f t="shared" si="7"/>
        <v>-0.47707979626485569</v>
      </c>
      <c r="AA7" s="365">
        <v>81</v>
      </c>
      <c r="AB7" s="391" t="s">
        <v>540</v>
      </c>
      <c r="AC7" s="362" t="s">
        <v>505</v>
      </c>
      <c r="AD7" s="362" t="s">
        <v>504</v>
      </c>
      <c r="AE7" s="362" t="s">
        <v>504</v>
      </c>
      <c r="AF7" s="321">
        <v>27302</v>
      </c>
      <c r="AG7" s="302"/>
      <c r="AH7" s="302"/>
      <c r="AI7" s="302"/>
      <c r="AJ7" s="502" t="s">
        <v>627</v>
      </c>
      <c r="AK7" s="503" t="s">
        <v>749</v>
      </c>
    </row>
    <row r="8" spans="1:42" x14ac:dyDescent="0.35">
      <c r="A8" s="309" t="s">
        <v>27</v>
      </c>
      <c r="B8" s="309" t="s">
        <v>571</v>
      </c>
      <c r="C8" s="497" t="s">
        <v>40</v>
      </c>
      <c r="D8" s="497" t="s">
        <v>541</v>
      </c>
      <c r="E8" s="498" t="s">
        <v>750</v>
      </c>
      <c r="F8" s="317" t="s">
        <v>751</v>
      </c>
      <c r="G8" s="317" t="s">
        <v>752</v>
      </c>
      <c r="H8" s="317"/>
      <c r="I8" s="317"/>
      <c r="J8" s="317"/>
      <c r="K8" s="317"/>
      <c r="L8" s="317"/>
      <c r="M8" s="317"/>
      <c r="N8" s="363">
        <v>49.69</v>
      </c>
      <c r="O8" s="364">
        <v>0.2331</v>
      </c>
      <c r="P8" s="392" t="s">
        <v>501</v>
      </c>
      <c r="Q8" s="362" t="s">
        <v>577</v>
      </c>
      <c r="R8" s="362">
        <v>2.9899999999999999E-2</v>
      </c>
      <c r="S8" s="362">
        <v>0.15659999999999999</v>
      </c>
      <c r="T8" s="361">
        <v>54.81</v>
      </c>
      <c r="U8" s="361">
        <v>54.45</v>
      </c>
      <c r="V8" s="361">
        <v>61.11</v>
      </c>
      <c r="W8" s="361">
        <v>62.52</v>
      </c>
      <c r="X8" s="299">
        <f t="shared" si="5"/>
        <v>2.3073146784487051E-2</v>
      </c>
      <c r="Y8" s="299">
        <f t="shared" si="6"/>
        <v>0.14820936639118457</v>
      </c>
      <c r="Z8" s="299">
        <f t="shared" si="7"/>
        <v>0.14066776135741654</v>
      </c>
      <c r="AA8" s="365"/>
      <c r="AB8" s="309"/>
      <c r="AC8" s="362" t="s">
        <v>505</v>
      </c>
      <c r="AD8" s="362" t="s">
        <v>505</v>
      </c>
      <c r="AE8" s="362" t="s">
        <v>505</v>
      </c>
      <c r="AF8" s="321">
        <v>9264</v>
      </c>
      <c r="AG8" s="302"/>
      <c r="AH8" s="302"/>
      <c r="AI8" s="302"/>
      <c r="AJ8" s="370" t="s">
        <v>510</v>
      </c>
      <c r="AK8" s="366" t="s">
        <v>545</v>
      </c>
    </row>
  </sheetData>
  <mergeCells count="1">
    <mergeCell ref="A1:AK1"/>
  </mergeCells>
  <conditionalFormatting sqref="A6">
    <cfRule type="expression" dxfId="12" priority="2">
      <formula>$D6&lt;&gt;$D5</formula>
    </cfRule>
  </conditionalFormatting>
  <conditionalFormatting sqref="A8">
    <cfRule type="expression" dxfId="11" priority="1">
      <formula>$D8&lt;&gt;$D7</formula>
    </cfRule>
  </conditionalFormatting>
  <conditionalFormatting sqref="A3:AK3">
    <cfRule type="expression" dxfId="10" priority="21">
      <formula>$B3&lt;&gt;$B2</formula>
    </cfRule>
  </conditionalFormatting>
  <conditionalFormatting sqref="A5:AK5">
    <cfRule type="expression" dxfId="9" priority="8">
      <formula>$B5&lt;&gt;$B4</formula>
    </cfRule>
  </conditionalFormatting>
  <conditionalFormatting sqref="A4:AM4 AO4:AP4">
    <cfRule type="expression" dxfId="8" priority="16">
      <formula>$B4&lt;&gt;$B3</formula>
    </cfRule>
  </conditionalFormatting>
  <conditionalFormatting sqref="B6:AK6 A7:AK7 B8:AK8">
    <cfRule type="expression" dxfId="7" priority="3">
      <formula>$B6&lt;&gt;$B5</formula>
    </cfRule>
  </conditionalFormatting>
  <conditionalFormatting sqref="O3:O8 X3:Z8">
    <cfRule type="cellIs" dxfId="6" priority="6" operator="lessThan">
      <formula>0</formula>
    </cfRule>
    <cfRule type="cellIs" dxfId="5" priority="7" operator="greaterThan">
      <formula>0</formula>
    </cfRule>
  </conditionalFormatting>
  <conditionalFormatting sqref="AA3:AA8">
    <cfRule type="cellIs" dxfId="4" priority="4" operator="greaterThan">
      <formula>66</formula>
    </cfRule>
    <cfRule type="cellIs" dxfId="3" priority="5" operator="lessThan">
      <formula>34</formula>
    </cfRule>
  </conditionalFormatting>
  <conditionalFormatting sqref="AN4">
    <cfRule type="cellIs" dxfId="2" priority="13" operator="lessThan">
      <formula>1</formula>
    </cfRule>
    <cfRule type="cellIs" dxfId="1" priority="14" operator="greaterThan">
      <formula>1</formula>
    </cfRule>
    <cfRule type="expression" dxfId="0" priority="15">
      <formula>$B4&lt;&gt;$B3</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Accts - old data</vt:lpstr>
      <vt:lpstr>Calc</vt:lpstr>
      <vt:lpstr>Aggressive Portfolio Evals</vt:lpstr>
      <vt:lpstr>Conservative Portfolio Evals</vt:lpstr>
      <vt:lpstr>Downloads</vt:lpstr>
      <vt:lpstr>Deleted positions</vt:lpstr>
    </vt:vector>
  </TitlesOfParts>
  <Manager/>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Rob</dc:creator>
  <cp:keywords/>
  <dc:description/>
  <cp:lastModifiedBy>Rob Squire</cp:lastModifiedBy>
  <cp:revision/>
  <dcterms:created xsi:type="dcterms:W3CDTF">2017-07-20T15:36:07Z</dcterms:created>
  <dcterms:modified xsi:type="dcterms:W3CDTF">2025-10-03T16:29:44Z</dcterms:modified>
  <cp:category/>
  <cp:contentStatus/>
</cp:coreProperties>
</file>